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4" sheetId="1" r:id="rId1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0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'Лист4'!$AQ$1:$IH$400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<sst xmlns="http://schemas.openxmlformats.org/spreadsheetml/2006/main" count="696" uniqueCount="463">
  <si>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</si>
  <si>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</si>
  <si>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</si>
  <si>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</si>
  <si>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</si>
  <si>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</si>
  <si>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</si>
  <si>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</si>
  <si>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</si>
  <si>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</si>
  <si>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</si>
  <si>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</si>
  <si>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Олія соняшникова</t>
  </si>
  <si>
    <t>Молоко свіже 2,6%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</si>
  <si>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</si>
  <si>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</si>
  <si>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</si>
  <si>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</si>
  <si>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</si>
  <si>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</si>
  <si>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</si>
  <si>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</si>
  <si>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</si>
  <si>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</si>
  <si>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</si>
  <si>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</si>
  <si>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</si>
  <si>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</si>
  <si>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</si>
  <si>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</si>
  <si>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</si>
  <si>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</si>
  <si>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</si>
  <si>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</si>
  <si>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</si>
  <si>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</si>
  <si>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</si>
  <si>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</si>
  <si>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</si>
  <si>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</si>
  <si>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</si>
  <si>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Какао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</si>
  <si>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</si>
  <si>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</si>
  <si>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</si>
  <si>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</si>
  <si>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</si>
  <si>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</si>
  <si>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</si>
  <si>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</si>
  <si>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</si>
  <si>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</si>
  <si>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</si>
  <si>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</si>
  <si>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</si>
  <si>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</si>
  <si>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</si>
  <si>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</si>
  <si>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</si>
  <si>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</si>
  <si>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</si>
  <si>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</si>
  <si>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</si>
  <si>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</si>
  <si>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</si>
  <si>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</si>
  <si>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</si>
  <si>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</si>
  <si>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</si>
  <si>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</si>
  <si>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</si>
  <si>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</si>
  <si>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</si>
  <si>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</si>
  <si>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</si>
  <si>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</si>
  <si>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</si>
  <si>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</si>
  <si>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</si>
  <si>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</si>
  <si>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</si>
  <si>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</si>
  <si>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</si>
  <si>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</si>
  <si>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</si>
  <si>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</si>
  <si>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</si>
  <si>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</si>
  <si>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</si>
  <si>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</si>
  <si>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</si>
  <si>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</si>
  <si>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</si>
  <si>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</si>
  <si>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</si>
  <si>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</si>
  <si>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</si>
  <si>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</si>
  <si>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</si>
  <si>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</si>
  <si>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</si>
  <si>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</si>
  <si>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</si>
  <si>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</si>
  <si>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 хліб житній</t>
  </si>
  <si>
    <t>Родзинки</t>
  </si>
  <si>
    <t>часник</t>
  </si>
  <si>
    <t>Бублики</t>
  </si>
  <si>
    <t>Бухгалтер    Яковенко Г.В.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</si>
  <si>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</si>
  <si>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</si>
  <si>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</si>
  <si>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</si>
  <si>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</si>
  <si>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квасоля суха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</si>
  <si>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</si>
  <si>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</si>
  <si>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</si>
  <si>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чай каркаде</t>
  </si>
  <si>
    <t>кукурудзяна крупа</t>
  </si>
  <si>
    <t>крупа кукурудзяна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</si>
  <si>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</si>
  <si>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</si>
  <si>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</si>
  <si>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</si>
  <si>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</si>
  <si>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</si>
  <si>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</si>
  <si>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</si>
  <si>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</si>
  <si>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</si>
  <si>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</si>
  <si>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йогурт</t>
  </si>
  <si>
    <t>закритий бутерброд з повидлом</t>
  </si>
  <si>
    <t xml:space="preserve"> закритий бутерброд з джемом</t>
  </si>
  <si>
    <t>Варення, джем,мармелад</t>
  </si>
  <si>
    <t>закритий бутерброд з мармеладом</t>
  </si>
  <si>
    <t>бургер</t>
  </si>
  <si>
    <t>35/50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</si>
  <si>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</si>
  <si>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</si>
  <si>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</si>
  <si>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 з капусти з ароматною олією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</si>
  <si>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</si>
  <si>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</si>
  <si>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</si>
  <si>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</si>
  <si>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</si>
  <si>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</si>
  <si>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</si>
  <si>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</si>
  <si>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</si>
  <si>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</si>
  <si>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</si>
  <si>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</si>
  <si>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</si>
  <si>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</si>
  <si>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банани  свііжі</t>
  </si>
  <si>
    <t>борошно кукурудзяне</t>
  </si>
  <si>
    <t>сода</t>
  </si>
  <si>
    <t>імбир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</si>
  <si>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</si>
  <si>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</si>
  <si>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</si>
  <si>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</si>
  <si>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</si>
  <si>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</si>
  <si>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</si>
  <si>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</si>
  <si>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</si>
  <si>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</si>
  <si>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</si>
  <si>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</si>
  <si>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</si>
  <si>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</si>
  <si>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</si>
  <si>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салат з гарбузом ,насінням та зеленим горошком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</si>
  <si>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</si>
  <si>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</si>
  <si>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</si>
  <si>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</si>
  <si>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</si>
  <si>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</si>
  <si>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</si>
  <si>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</si>
  <si>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</si>
  <si>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</si>
  <si>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</si>
  <si>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</si>
  <si>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</si>
  <si>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</si>
  <si>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</si>
  <si>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</si>
  <si>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</si>
  <si>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</si>
  <si>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</si>
  <si>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</si>
  <si>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</si>
  <si>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</si>
  <si>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</si>
  <si>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</si>
  <si>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салат з яйцем ,сиром та куркумою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</si>
  <si>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</si>
  <si>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</si>
  <si>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</si>
  <si>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</si>
  <si>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</si>
  <si>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</si>
  <si>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</si>
  <si>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</si>
  <si>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</si>
  <si>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</si>
  <si>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</si>
  <si>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</si>
  <si>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</si>
  <si>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</si>
  <si>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</si>
  <si>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</si>
  <si>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</si>
  <si>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</si>
  <si>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</si>
  <si>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</si>
  <si>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</si>
  <si>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</si>
  <si>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</si>
  <si>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</si>
  <si>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</si>
  <si>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</si>
  <si>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</si>
  <si>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</si>
  <si>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</si>
  <si>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</si>
  <si>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</si>
  <si>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</si>
  <si>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</si>
  <si>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</si>
  <si>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</si>
  <si>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</si>
  <si>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</si>
  <si>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</si>
  <si>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</si>
  <si>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</si>
  <si>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</si>
  <si>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</si>
  <si>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</si>
  <si>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</si>
  <si>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</si>
  <si>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</si>
  <si>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</si>
  <si>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</si>
  <si>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</si>
  <si>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</si>
  <si>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</si>
  <si>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</si>
  <si>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</si>
  <si>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</si>
  <si>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</si>
  <si>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</si>
  <si>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</si>
  <si>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</si>
  <si>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</si>
  <si>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</si>
  <si>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</si>
  <si>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</si>
  <si>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</si>
  <si>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</si>
  <si>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</si>
  <si>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</si>
  <si>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</si>
  <si>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</si>
  <si>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</si>
  <si>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</si>
  <si>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</si>
  <si>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</si>
  <si>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</si>
  <si>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</si>
  <si>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</si>
  <si>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</si>
  <si>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 xml:space="preserve"> запечені кабачки  в панірувальних сухарях</t>
  </si>
  <si>
    <t>рибний закритий пиріг зі спеціями</t>
  </si>
  <si>
    <t>минтай запечений у соусі"Бешамель"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</si>
  <si>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</si>
  <si>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</si>
  <si>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</si>
  <si>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</si>
  <si>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</si>
  <si>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</si>
  <si>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</si>
  <si>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</si>
  <si>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курка запечена  в соусі"Імбирному"</t>
  </si>
  <si>
    <t>борошно нутове</t>
  </si>
  <si>
    <t>запене філе курки з орегано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</si>
  <si>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</si>
  <si>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</si>
  <si>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</si>
  <si>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</si>
  <si>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</si>
  <si>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</si>
  <si>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</si>
  <si>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</si>
  <si>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</si>
  <si>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</si>
  <si>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</si>
  <si>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</si>
  <si>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</si>
  <si>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</si>
  <si>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</si>
  <si>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</si>
  <si>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</si>
  <si>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</si>
  <si>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</si>
  <si>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</si>
  <si>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</si>
  <si>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</si>
  <si>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</si>
  <si>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</si>
  <si>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</si>
  <si>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</si>
  <si>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</si>
  <si>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</si>
  <si>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0,,2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</si>
  <si>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</si>
  <si>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</si>
  <si>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</si>
  <si>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</si>
  <si>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</si>
  <si>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</si>
  <si>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</si>
  <si>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</si>
  <si>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</si>
  <si>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</si>
  <si>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</si>
  <si>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</si>
  <si>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</si>
  <si>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</si>
  <si>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</si>
  <si>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</si>
  <si>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</si>
  <si>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</si>
  <si>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</si>
  <si>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</si>
  <si>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салатз буряком та ячневою кашею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</si>
  <si>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</si>
  <si>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</si>
  <si>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</si>
  <si>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</si>
  <si>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</si>
  <si>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</si>
  <si>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</si>
  <si>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</si>
  <si>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</si>
  <si>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</si>
  <si>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</si>
  <si>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</si>
  <si>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</si>
  <si>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</si>
  <si>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</si>
  <si>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</si>
  <si>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буряк, тушкованийз яблуками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</si>
  <si>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</si>
  <si>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</si>
  <si>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</si>
  <si>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</si>
  <si>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</si>
  <si>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</si>
  <si>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</si>
  <si>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</si>
  <si>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</si>
  <si>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</si>
  <si>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</si>
  <si>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</si>
  <si>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</si>
  <si>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</si>
  <si>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</si>
  <si>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</si>
  <si>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</si>
  <si>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</si>
  <si>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</si>
  <si>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</si>
  <si>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</si>
  <si>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</si>
  <si>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</si>
  <si>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курка ,тушкована в соусі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</si>
  <si>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</si>
  <si>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</si>
  <si>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</si>
  <si>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</si>
  <si>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</si>
  <si>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</si>
  <si>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</si>
  <si>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рис"Паелья"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</si>
  <si>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</si>
  <si>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</si>
  <si>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</si>
  <si>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</si>
  <si>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</si>
  <si>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</si>
  <si>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</si>
  <si>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</si>
  <si>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</si>
  <si>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</si>
  <si>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</si>
  <si>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</si>
  <si>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</si>
  <si>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</si>
  <si>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</si>
  <si>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</si>
  <si>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</si>
  <si>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чайи каркаде</t>
  </si>
  <si>
    <t>чай з мелісою</t>
  </si>
  <si>
    <t>чай з липою</t>
  </si>
  <si>
    <t>соус червоний основний</t>
  </si>
  <si>
    <t>салат зеленийз з огірками та помідорами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</si>
  <si>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</si>
  <si>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</si>
  <si>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</si>
  <si>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</si>
  <si>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</si>
  <si>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</si>
  <si>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</si>
  <si>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</si>
  <si>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</si>
  <si>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</si>
  <si>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</si>
  <si>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</si>
  <si>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</si>
  <si>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</si>
  <si>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</si>
  <si>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</si>
  <si>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</si>
  <si>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</si>
  <si>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</si>
  <si>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</si>
  <si>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</si>
  <si>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</si>
  <si>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70/50</t>
  </si>
  <si>
    <t>печеня по-домашньому зі свининою</t>
  </si>
  <si>
    <t>хліб житній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</si>
  <si>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</si>
  <si>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</si>
  <si>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</si>
  <si>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</si>
  <si>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</si>
  <si>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</si>
  <si>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</si>
  <si>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</si>
  <si>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 xml:space="preserve"> сік томатний</t>
  </si>
  <si>
    <t>сік фруктовий</t>
  </si>
  <si>
    <t>ЦІНА</t>
  </si>
  <si>
    <t>сир твердий</t>
  </si>
  <si>
    <t>насіння соняшника,горіхи</t>
  </si>
  <si>
    <t>перець солодкий</t>
  </si>
  <si>
    <t>Хліб цільнозерновий</t>
  </si>
  <si>
    <t>банани</t>
  </si>
  <si>
    <t>оцет</t>
  </si>
  <si>
    <t xml:space="preserve">     на  "12" лютого  2022 р.</t>
  </si>
  <si>
    <r>
      <t>"</t>
    </r>
    <r>
      <rPr>
        <u val="single"/>
        <sz val="20"/>
        <rFont val="Arial Cyr"/>
        <family val="0"/>
      </rPr>
      <t xml:space="preserve">    11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</si>
  <si>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>молодші 6-11р.</t>
  </si>
  <si>
    <t>яйце варене</t>
  </si>
  <si>
    <t>напій із шипшини</t>
  </si>
  <si>
    <t>Огірки квашені</t>
  </si>
  <si>
    <t>хліб пшеничний</t>
  </si>
  <si>
    <t>Хліб пшеничний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</si>
</sst>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1" fillId="0" borderId="0" xfId="0" applyNumberFormat="1" applyFont="1" applyAlignment="1">
      <alignment/>
    </xf>
    <xf numFmtId="0" fontId="29" fillId="0" borderId="0" xfId="0" applyFont="1" applyAlignment="1">
      <alignment/>
    </xf>
    <xf numFmtId="2" fontId="12" fillId="0" borderId="17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0.emf" /><Relationship Id="rId3" Type="http://schemas.openxmlformats.org/officeDocument/2006/relationships/image" Target="../media/image19.emf" /><Relationship Id="rId4" Type="http://schemas.openxmlformats.org/officeDocument/2006/relationships/image" Target="../media/image33.emf" /><Relationship Id="rId5" Type="http://schemas.openxmlformats.org/officeDocument/2006/relationships/image" Target="../media/image34.emf" /><Relationship Id="rId6" Type="http://schemas.openxmlformats.org/officeDocument/2006/relationships/image" Target="../media/image21.emf" /><Relationship Id="rId7" Type="http://schemas.openxmlformats.org/officeDocument/2006/relationships/image" Target="../media/image31.emf" /><Relationship Id="rId8" Type="http://schemas.openxmlformats.org/officeDocument/2006/relationships/image" Target="../media/image32.emf" /><Relationship Id="rId9" Type="http://schemas.openxmlformats.org/officeDocument/2006/relationships/image" Target="../media/image35.emf" /><Relationship Id="rId10" Type="http://schemas.openxmlformats.org/officeDocument/2006/relationships/image" Target="../media/image36.emf" /><Relationship Id="rId11" Type="http://schemas.openxmlformats.org/officeDocument/2006/relationships/image" Target="../media/image29.emf" /><Relationship Id="rId12" Type="http://schemas.openxmlformats.org/officeDocument/2006/relationships/image" Target="../media/image28.emf" /><Relationship Id="rId13" Type="http://schemas.openxmlformats.org/officeDocument/2006/relationships/image" Target="../media/image27.emf" /><Relationship Id="rId14" Type="http://schemas.openxmlformats.org/officeDocument/2006/relationships/image" Target="../media/image26.emf" /><Relationship Id="rId15" Type="http://schemas.openxmlformats.org/officeDocument/2006/relationships/image" Target="../media/image38.emf" /><Relationship Id="rId16" Type="http://schemas.openxmlformats.org/officeDocument/2006/relationships/image" Target="../media/image39.emf" /><Relationship Id="rId17" Type="http://schemas.openxmlformats.org/officeDocument/2006/relationships/image" Target="../media/image18.emf" /><Relationship Id="rId18" Type="http://schemas.openxmlformats.org/officeDocument/2006/relationships/image" Target="../media/image25.emf" /><Relationship Id="rId19" Type="http://schemas.openxmlformats.org/officeDocument/2006/relationships/image" Target="../media/image37.emf" /><Relationship Id="rId20" Type="http://schemas.openxmlformats.org/officeDocument/2006/relationships/image" Target="../media/image24.emf" /><Relationship Id="rId21" Type="http://schemas.openxmlformats.org/officeDocument/2006/relationships/image" Target="../media/image23.emf" /><Relationship Id="rId22" Type="http://schemas.openxmlformats.org/officeDocument/2006/relationships/image" Target="../media/image30.emf" /><Relationship Id="rId23" Type="http://schemas.openxmlformats.org/officeDocument/2006/relationships/image" Target="../media/image1.emf" /><Relationship Id="rId24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512445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615315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6673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495300</xdr:colOff>
      <xdr:row>1</xdr:row>
      <xdr:rowOff>180975</xdr:rowOff>
    </xdr:from>
    <xdr:to>
      <xdr:col>34</xdr:col>
      <xdr:colOff>476250</xdr:colOff>
      <xdr:row>9</xdr:row>
      <xdr:rowOff>19050</xdr:rowOff>
    </xdr:to>
    <xdr:pic>
      <xdr:nvPicPr>
        <xdr:cNvPr id="4" name="Picture 2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56800" y="523875"/>
          <a:ext cx="23431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184</xdr:row>
      <xdr:rowOff>200025</xdr:rowOff>
    </xdr:from>
    <xdr:to>
      <xdr:col>10</xdr:col>
      <xdr:colOff>9525</xdr:colOff>
      <xdr:row>187</xdr:row>
      <xdr:rowOff>95250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740759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187</xdr:row>
      <xdr:rowOff>190500</xdr:rowOff>
    </xdr:from>
    <xdr:to>
      <xdr:col>9</xdr:col>
      <xdr:colOff>1038225</xdr:colOff>
      <xdr:row>190</xdr:row>
      <xdr:rowOff>85725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748093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191</xdr:row>
      <xdr:rowOff>28575</xdr:rowOff>
    </xdr:from>
    <xdr:to>
      <xdr:col>9</xdr:col>
      <xdr:colOff>1038225</xdr:colOff>
      <xdr:row>193</xdr:row>
      <xdr:rowOff>161925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5875" y="756380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933450</xdr:colOff>
      <xdr:row>194</xdr:row>
      <xdr:rowOff>76200</xdr:rowOff>
    </xdr:from>
    <xdr:to>
      <xdr:col>10</xdr:col>
      <xdr:colOff>0</xdr:colOff>
      <xdr:row>196</xdr:row>
      <xdr:rowOff>171450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24450" y="76428600"/>
          <a:ext cx="53530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197</xdr:row>
      <xdr:rowOff>142875</xdr:rowOff>
    </xdr:from>
    <xdr:to>
      <xdr:col>9</xdr:col>
      <xdr:colOff>1038225</xdr:colOff>
      <xdr:row>200</xdr:row>
      <xdr:rowOff>28575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772382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200</xdr:row>
      <xdr:rowOff>209550</xdr:rowOff>
    </xdr:from>
    <xdr:to>
      <xdr:col>10</xdr:col>
      <xdr:colOff>0</xdr:colOff>
      <xdr:row>203</xdr:row>
      <xdr:rowOff>104775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05400" y="780478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204</xdr:row>
      <xdr:rowOff>19050</xdr:rowOff>
    </xdr:from>
    <xdr:to>
      <xdr:col>10</xdr:col>
      <xdr:colOff>9525</xdr:colOff>
      <xdr:row>206</xdr:row>
      <xdr:rowOff>152400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14925" y="788479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221</xdr:row>
      <xdr:rowOff>38100</xdr:rowOff>
    </xdr:from>
    <xdr:to>
      <xdr:col>10</xdr:col>
      <xdr:colOff>9525</xdr:colOff>
      <xdr:row>223</xdr:row>
      <xdr:rowOff>161925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14925" y="8307705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224</xdr:row>
      <xdr:rowOff>228600</xdr:rowOff>
    </xdr:from>
    <xdr:to>
      <xdr:col>10</xdr:col>
      <xdr:colOff>9525</xdr:colOff>
      <xdr:row>227</xdr:row>
      <xdr:rowOff>123825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14925" y="84010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228</xdr:row>
      <xdr:rowOff>114300</xdr:rowOff>
    </xdr:from>
    <xdr:to>
      <xdr:col>9</xdr:col>
      <xdr:colOff>1028700</xdr:colOff>
      <xdr:row>231</xdr:row>
      <xdr:rowOff>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86350" y="8488680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231</xdr:row>
      <xdr:rowOff>104775</xdr:rowOff>
    </xdr:from>
    <xdr:to>
      <xdr:col>10</xdr:col>
      <xdr:colOff>0</xdr:colOff>
      <xdr:row>233</xdr:row>
      <xdr:rowOff>228600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05400" y="85620225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234</xdr:row>
      <xdr:rowOff>95250</xdr:rowOff>
    </xdr:from>
    <xdr:to>
      <xdr:col>9</xdr:col>
      <xdr:colOff>1038225</xdr:colOff>
      <xdr:row>236</xdr:row>
      <xdr:rowOff>228600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95875" y="863536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237</xdr:row>
      <xdr:rowOff>152400</xdr:rowOff>
    </xdr:from>
    <xdr:to>
      <xdr:col>10</xdr:col>
      <xdr:colOff>0</xdr:colOff>
      <xdr:row>240</xdr:row>
      <xdr:rowOff>38100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05400" y="871537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240</xdr:row>
      <xdr:rowOff>190500</xdr:rowOff>
    </xdr:from>
    <xdr:to>
      <xdr:col>9</xdr:col>
      <xdr:colOff>1038225</xdr:colOff>
      <xdr:row>243</xdr:row>
      <xdr:rowOff>76200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95875" y="8793480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244</xdr:row>
      <xdr:rowOff>0</xdr:rowOff>
    </xdr:from>
    <xdr:to>
      <xdr:col>9</xdr:col>
      <xdr:colOff>1038225</xdr:colOff>
      <xdr:row>246</xdr:row>
      <xdr:rowOff>142875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95875" y="887349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261</xdr:row>
      <xdr:rowOff>171450</xdr:rowOff>
    </xdr:from>
    <xdr:to>
      <xdr:col>9</xdr:col>
      <xdr:colOff>1038225</xdr:colOff>
      <xdr:row>264</xdr:row>
      <xdr:rowOff>66675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95875" y="931164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265</xdr:row>
      <xdr:rowOff>0</xdr:rowOff>
    </xdr:from>
    <xdr:to>
      <xdr:col>9</xdr:col>
      <xdr:colOff>1038225</xdr:colOff>
      <xdr:row>267</xdr:row>
      <xdr:rowOff>133350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95875" y="939355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269</xdr:row>
      <xdr:rowOff>76200</xdr:rowOff>
    </xdr:from>
    <xdr:to>
      <xdr:col>10</xdr:col>
      <xdr:colOff>0</xdr:colOff>
      <xdr:row>271</xdr:row>
      <xdr:rowOff>190500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05400" y="95002350"/>
          <a:ext cx="537210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281</xdr:row>
      <xdr:rowOff>57150</xdr:rowOff>
    </xdr:from>
    <xdr:to>
      <xdr:col>9</xdr:col>
      <xdr:colOff>1038225</xdr:colOff>
      <xdr:row>283</xdr:row>
      <xdr:rowOff>180975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95875" y="979551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285</xdr:row>
      <xdr:rowOff>95250</xdr:rowOff>
    </xdr:from>
    <xdr:to>
      <xdr:col>9</xdr:col>
      <xdr:colOff>1028700</xdr:colOff>
      <xdr:row>287</xdr:row>
      <xdr:rowOff>219075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86350" y="989838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290</xdr:row>
      <xdr:rowOff>0</xdr:rowOff>
    </xdr:from>
    <xdr:to>
      <xdr:col>9</xdr:col>
      <xdr:colOff>1028700</xdr:colOff>
      <xdr:row>292</xdr:row>
      <xdr:rowOff>133350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86350" y="10012680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294</xdr:row>
      <xdr:rowOff>47625</xdr:rowOff>
    </xdr:from>
    <xdr:to>
      <xdr:col>10</xdr:col>
      <xdr:colOff>0</xdr:colOff>
      <xdr:row>296</xdr:row>
      <xdr:rowOff>171450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86350" y="101165025"/>
          <a:ext cx="539115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298</xdr:row>
      <xdr:rowOff>57150</xdr:rowOff>
    </xdr:from>
    <xdr:to>
      <xdr:col>10</xdr:col>
      <xdr:colOff>0</xdr:colOff>
      <xdr:row>300</xdr:row>
      <xdr:rowOff>180975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105400" y="10216515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302</xdr:row>
      <xdr:rowOff>95250</xdr:rowOff>
    </xdr:from>
    <xdr:to>
      <xdr:col>10</xdr:col>
      <xdr:colOff>0</xdr:colOff>
      <xdr:row>304</xdr:row>
      <xdr:rowOff>219075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05400" y="10319385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306</xdr:row>
      <xdr:rowOff>152400</xdr:rowOff>
    </xdr:from>
    <xdr:to>
      <xdr:col>9</xdr:col>
      <xdr:colOff>1028700</xdr:colOff>
      <xdr:row>309</xdr:row>
      <xdr:rowOff>28575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86350" y="1042416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311</xdr:row>
      <xdr:rowOff>57150</xdr:rowOff>
    </xdr:from>
    <xdr:to>
      <xdr:col>9</xdr:col>
      <xdr:colOff>1038225</xdr:colOff>
      <xdr:row>313</xdr:row>
      <xdr:rowOff>180975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5875" y="1053846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181</xdr:row>
      <xdr:rowOff>161925</xdr:rowOff>
    </xdr:from>
    <xdr:to>
      <xdr:col>9</xdr:col>
      <xdr:colOff>1038225</xdr:colOff>
      <xdr:row>184</xdr:row>
      <xdr:rowOff>57150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95875" y="7329487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0"/>
  <sheetViews>
    <sheetView showZeros="0" tabSelected="1" view="pageBreakPreview" zoomScale="50" zoomScaleNormal="50" zoomScaleSheetLayoutView="50" zoomScalePageLayoutView="40" workbookViewId="0" topLeftCell="N3">
      <selection activeCell="AF4" sqref="AF4:AN5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8"/>
      <c r="U1" s="229" t="s">
        <v>67</v>
      </c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3"/>
      <c r="AG1" s="41"/>
      <c r="AH1" s="226" t="s">
        <v>78</v>
      </c>
      <c r="AI1" s="226"/>
      <c r="AJ1" s="226"/>
      <c r="AK1" s="226"/>
      <c r="AL1" s="226"/>
      <c r="AM1" s="226"/>
      <c r="AN1" s="226"/>
      <c r="AQ1" s="60"/>
      <c r="AR1" s="60" t="s">
        <v>7</v>
      </c>
      <c r="AS1" s="60" t="s">
        <v>6</v>
      </c>
      <c r="AT1" s="60" t="s">
        <v>8</v>
      </c>
      <c r="AU1" s="60" t="s">
        <v>163</v>
      </c>
      <c r="AV1" s="60" t="s">
        <v>155</v>
      </c>
      <c r="AW1" s="60" t="s">
        <v>151</v>
      </c>
      <c r="AX1" s="60" t="s">
        <v>10</v>
      </c>
      <c r="AY1" s="60" t="s">
        <v>157</v>
      </c>
      <c r="AZ1" s="60" t="s">
        <v>47</v>
      </c>
      <c r="BA1" s="60" t="s">
        <v>161</v>
      </c>
      <c r="BB1" s="60" t="s">
        <v>156</v>
      </c>
      <c r="BC1" s="60" t="s">
        <v>12</v>
      </c>
      <c r="BD1" s="60" t="s">
        <v>13</v>
      </c>
      <c r="BE1" s="60" t="s">
        <v>162</v>
      </c>
      <c r="BF1" s="60" t="s">
        <v>48</v>
      </c>
      <c r="BG1" s="60" t="s">
        <v>15</v>
      </c>
      <c r="BH1" s="60" t="s">
        <v>16</v>
      </c>
      <c r="BI1" s="60" t="s">
        <v>17</v>
      </c>
      <c r="BJ1" s="60" t="s">
        <v>18</v>
      </c>
      <c r="BK1" s="60" t="s">
        <v>132</v>
      </c>
      <c r="BL1" s="60" t="s">
        <v>56</v>
      </c>
      <c r="BM1" s="60" t="s">
        <v>19</v>
      </c>
      <c r="BN1" s="60" t="s">
        <v>20</v>
      </c>
      <c r="BO1" s="60" t="s">
        <v>21</v>
      </c>
      <c r="BP1" s="60" t="s">
        <v>25</v>
      </c>
      <c r="BQ1" s="60" t="s">
        <v>49</v>
      </c>
      <c r="BR1" s="60" t="s">
        <v>24</v>
      </c>
      <c r="BS1" s="60" t="s">
        <v>23</v>
      </c>
      <c r="BT1" s="60" t="s">
        <v>119</v>
      </c>
      <c r="BU1" s="60" t="s">
        <v>0</v>
      </c>
      <c r="BV1" s="60" t="s">
        <v>149</v>
      </c>
      <c r="BW1" s="60" t="s">
        <v>26</v>
      </c>
      <c r="BX1" s="60" t="s">
        <v>135</v>
      </c>
      <c r="BY1" s="60" t="s">
        <v>28</v>
      </c>
      <c r="BZ1" s="60" t="s">
        <v>171</v>
      </c>
      <c r="CA1" s="60" t="s">
        <v>164</v>
      </c>
      <c r="CB1" s="60" t="s">
        <v>31</v>
      </c>
      <c r="CC1" s="60" t="s">
        <v>105</v>
      </c>
      <c r="CD1" s="60" t="s">
        <v>32</v>
      </c>
      <c r="CE1" s="60" t="s">
        <v>33</v>
      </c>
      <c r="CF1" s="60" t="s">
        <v>34</v>
      </c>
      <c r="CG1" s="60" t="s">
        <v>35</v>
      </c>
      <c r="CH1" s="60" t="s">
        <v>122</v>
      </c>
      <c r="CI1" s="60" t="s">
        <v>36</v>
      </c>
      <c r="CJ1" s="60" t="s">
        <v>37</v>
      </c>
      <c r="CK1" s="60" t="s">
        <v>121</v>
      </c>
      <c r="CL1" s="60" t="s">
        <v>50</v>
      </c>
      <c r="CM1" s="60" t="s">
        <v>39</v>
      </c>
      <c r="CN1" s="60" t="s">
        <v>117</v>
      </c>
      <c r="CO1" s="60" t="s">
        <v>38</v>
      </c>
      <c r="CP1" s="60" t="s">
        <v>160</v>
      </c>
      <c r="CQ1" s="60" t="s">
        <v>439</v>
      </c>
      <c r="CR1" s="60" t="s">
        <v>104</v>
      </c>
      <c r="CS1" s="60" t="s">
        <v>130</v>
      </c>
      <c r="CT1" s="60" t="s">
        <v>125</v>
      </c>
      <c r="CU1" s="60" t="s">
        <v>118</v>
      </c>
      <c r="CV1" s="60" t="s">
        <v>158</v>
      </c>
      <c r="CW1" s="60" t="s">
        <v>41</v>
      </c>
      <c r="CX1" s="60" t="s">
        <v>2</v>
      </c>
      <c r="CY1" s="60" t="s">
        <v>42</v>
      </c>
      <c r="CZ1" s="60" t="s">
        <v>43</v>
      </c>
      <c r="DA1" s="60" t="s">
        <v>44</v>
      </c>
      <c r="DB1" s="60" t="s">
        <v>45</v>
      </c>
      <c r="DC1" s="60" t="s">
        <v>46</v>
      </c>
      <c r="DD1" s="60" t="s">
        <v>159</v>
      </c>
      <c r="DE1" s="60" t="s">
        <v>51</v>
      </c>
      <c r="DF1" s="60" t="s">
        <v>52</v>
      </c>
      <c r="DG1" s="60" t="s">
        <v>129</v>
      </c>
      <c r="DH1" s="60" t="s">
        <v>53</v>
      </c>
      <c r="DI1" s="60" t="s">
        <v>54</v>
      </c>
      <c r="DJ1" s="60" t="s">
        <v>58</v>
      </c>
      <c r="DK1" s="60" t="s">
        <v>55</v>
      </c>
      <c r="DL1" s="60" t="s">
        <v>57</v>
      </c>
      <c r="DM1" s="60" t="s">
        <v>126</v>
      </c>
      <c r="DN1" s="60" t="s">
        <v>165</v>
      </c>
      <c r="DO1" s="60" t="s">
        <v>109</v>
      </c>
      <c r="DP1" s="60" t="s">
        <v>150</v>
      </c>
      <c r="DQ1" s="60" t="s">
        <v>114</v>
      </c>
      <c r="DR1" s="60" t="s">
        <v>441</v>
      </c>
      <c r="DS1" s="60" t="s">
        <v>97</v>
      </c>
      <c r="DT1" s="60" t="s">
        <v>442</v>
      </c>
      <c r="DU1" s="60" t="s">
        <v>98</v>
      </c>
      <c r="DV1" s="60" t="s">
        <v>443</v>
      </c>
      <c r="DW1" s="60" t="s">
        <v>99</v>
      </c>
      <c r="DX1" s="60" t="s">
        <v>106</v>
      </c>
      <c r="DY1" s="60" t="s">
        <v>172</v>
      </c>
      <c r="DZ1" s="60" t="s">
        <v>173</v>
      </c>
      <c r="EA1" s="60" t="s">
        <v>175</v>
      </c>
      <c r="EB1" s="60" t="s">
        <v>177</v>
      </c>
      <c r="EC1" s="60" t="s">
        <v>184</v>
      </c>
      <c r="ED1" s="60" t="s">
        <v>186</v>
      </c>
      <c r="EE1" s="60" t="s">
        <v>188</v>
      </c>
      <c r="EF1" s="60" t="s">
        <v>191</v>
      </c>
      <c r="EG1" s="60" t="s">
        <v>193</v>
      </c>
      <c r="EH1" s="60" t="s">
        <v>197</v>
      </c>
      <c r="EI1" s="60" t="s">
        <v>199</v>
      </c>
      <c r="EJ1" s="60" t="s">
        <v>202</v>
      </c>
      <c r="EK1" s="60" t="s">
        <v>211</v>
      </c>
      <c r="EL1" s="60" t="s">
        <v>215</v>
      </c>
      <c r="EM1" s="60" t="s">
        <v>216</v>
      </c>
      <c r="EN1" s="60" t="s">
        <v>218</v>
      </c>
      <c r="EO1" s="60" t="s">
        <v>220</v>
      </c>
      <c r="EP1" s="60" t="s">
        <v>221</v>
      </c>
      <c r="EQ1" s="60" t="s">
        <v>225</v>
      </c>
      <c r="ER1" s="60" t="s">
        <v>229</v>
      </c>
      <c r="ES1" s="60" t="s">
        <v>231</v>
      </c>
      <c r="ET1" s="60" t="s">
        <v>446</v>
      </c>
      <c r="EU1" s="60" t="s">
        <v>233</v>
      </c>
      <c r="EV1" s="60" t="s">
        <v>234</v>
      </c>
      <c r="EW1" s="60" t="s">
        <v>238</v>
      </c>
      <c r="EX1" s="60" t="s">
        <v>239</v>
      </c>
      <c r="EY1" s="60" t="s">
        <v>246</v>
      </c>
      <c r="EZ1" s="60" t="s">
        <v>247</v>
      </c>
      <c r="FA1" s="60" t="s">
        <v>254</v>
      </c>
      <c r="FB1" s="60" t="s">
        <v>256</v>
      </c>
      <c r="FC1" s="60" t="s">
        <v>258</v>
      </c>
      <c r="FD1" s="60" t="s">
        <v>261</v>
      </c>
      <c r="FE1" s="60" t="s">
        <v>268</v>
      </c>
      <c r="FF1" s="60" t="s">
        <v>271</v>
      </c>
      <c r="FG1" s="60" t="s">
        <v>272</v>
      </c>
      <c r="FH1" s="60" t="s">
        <v>274</v>
      </c>
      <c r="FI1" s="60" t="s">
        <v>290</v>
      </c>
      <c r="FJ1" s="60" t="s">
        <v>276</v>
      </c>
      <c r="FK1" s="60" t="s">
        <v>315</v>
      </c>
      <c r="FL1" s="60" t="s">
        <v>319</v>
      </c>
      <c r="FM1" s="60" t="s">
        <v>324</v>
      </c>
    </row>
    <row r="2" spans="1:129" ht="21" customHeight="1">
      <c r="A2" s="139" t="s">
        <v>65</v>
      </c>
      <c r="B2" s="140"/>
      <c r="C2" s="225" t="s">
        <v>66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15"/>
      <c r="AG2" s="227" t="s">
        <v>79</v>
      </c>
      <c r="AH2" s="228"/>
      <c r="AI2" s="228"/>
      <c r="AJ2" s="228"/>
      <c r="AK2" s="228"/>
      <c r="AL2" s="228"/>
      <c r="AM2" s="228"/>
      <c r="AN2" s="228"/>
      <c r="AP2">
        <v>1</v>
      </c>
      <c r="AQ2" s="61" t="s">
        <v>438</v>
      </c>
      <c r="AR2" s="60"/>
      <c r="AS2" s="60"/>
      <c r="AT2" s="60"/>
      <c r="AU2" s="60"/>
      <c r="AV2" s="60"/>
      <c r="AW2" s="60"/>
      <c r="AX2" s="60"/>
      <c r="AY2" s="60"/>
      <c r="AZ2" s="60">
        <v>4</v>
      </c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>
        <v>24.3</v>
      </c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>
        <v>32</v>
      </c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>
        <v>60</v>
      </c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</row>
    <row r="3" spans="1:129" ht="15" customHeight="1">
      <c r="A3" s="141"/>
      <c r="B3" s="142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5"/>
      <c r="AG3" s="5"/>
      <c r="AH3" s="5"/>
      <c r="AI3" s="5"/>
      <c r="AJ3" s="5"/>
      <c r="AK3" s="16"/>
      <c r="AL3" s="16"/>
      <c r="AP3">
        <v>2</v>
      </c>
      <c r="AQ3" s="61" t="s">
        <v>133</v>
      </c>
      <c r="AR3" s="60"/>
      <c r="AS3" s="60"/>
      <c r="AT3" s="60"/>
      <c r="AU3" s="60"/>
      <c r="AV3" s="60"/>
      <c r="AW3" s="60"/>
      <c r="AX3" s="60"/>
      <c r="AY3" s="60"/>
      <c r="AZ3" s="60">
        <v>4</v>
      </c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>
        <v>24.3</v>
      </c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>
        <v>32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>
        <v>60</v>
      </c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</row>
    <row r="4" spans="1:129" ht="15" customHeight="1">
      <c r="A4" s="141"/>
      <c r="B4" s="142"/>
      <c r="C4" s="225"/>
      <c r="D4" s="225"/>
      <c r="E4" s="225"/>
      <c r="F4" s="225" t="s">
        <v>89</v>
      </c>
      <c r="G4" s="225"/>
      <c r="H4" s="225" t="s">
        <v>90</v>
      </c>
      <c r="I4" s="225"/>
      <c r="J4" s="225"/>
      <c r="K4" s="225" t="s">
        <v>91</v>
      </c>
      <c r="L4" s="225"/>
      <c r="M4" s="225"/>
      <c r="N4" s="225" t="s">
        <v>92</v>
      </c>
      <c r="O4" s="225"/>
      <c r="P4" s="225"/>
      <c r="Q4" s="225"/>
      <c r="R4" s="225"/>
      <c r="S4" s="225"/>
      <c r="T4" s="5"/>
      <c r="U4" s="180" t="s">
        <v>68</v>
      </c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230" t="s">
        <v>115</v>
      </c>
      <c r="AG4" s="230"/>
      <c r="AH4" s="230"/>
      <c r="AI4" s="230"/>
      <c r="AJ4" s="230"/>
      <c r="AK4" s="230"/>
      <c r="AL4" s="230"/>
      <c r="AM4" s="230"/>
      <c r="AN4" s="230"/>
      <c r="AP4">
        <v>3</v>
      </c>
      <c r="AQ4" s="61" t="s">
        <v>134</v>
      </c>
      <c r="AR4" s="60"/>
      <c r="AS4" s="60"/>
      <c r="AT4" s="60"/>
      <c r="AU4" s="60"/>
      <c r="AV4" s="60"/>
      <c r="AW4" s="60"/>
      <c r="AX4" s="60"/>
      <c r="AY4" s="60"/>
      <c r="AZ4" s="60">
        <v>4</v>
      </c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>
        <v>24.3</v>
      </c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>
        <v>32</v>
      </c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>
        <v>60</v>
      </c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</row>
    <row r="5" spans="1:129" ht="15" customHeight="1">
      <c r="A5" s="143"/>
      <c r="B5" s="144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5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230"/>
      <c r="AG5" s="230"/>
      <c r="AH5" s="230"/>
      <c r="AI5" s="230"/>
      <c r="AJ5" s="230"/>
      <c r="AK5" s="230"/>
      <c r="AL5" s="230"/>
      <c r="AM5" s="230"/>
      <c r="AN5" s="230"/>
      <c r="AP5">
        <v>4</v>
      </c>
      <c r="AQ5" s="61" t="s">
        <v>136</v>
      </c>
      <c r="AR5" s="60"/>
      <c r="AS5" s="60"/>
      <c r="AT5" s="60"/>
      <c r="AU5" s="60"/>
      <c r="AV5" s="60"/>
      <c r="AW5" s="60"/>
      <c r="AX5" s="60"/>
      <c r="AY5" s="60"/>
      <c r="AZ5" s="60">
        <v>4</v>
      </c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>
        <v>24.3</v>
      </c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>
        <v>32</v>
      </c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>
        <v>60</v>
      </c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</row>
    <row r="6" spans="1:129" ht="24.75" customHeight="1">
      <c r="A6" s="145"/>
      <c r="B6" s="146"/>
      <c r="C6" s="124" t="s">
        <v>86</v>
      </c>
      <c r="D6" s="124"/>
      <c r="E6" s="124"/>
      <c r="F6" s="192">
        <f>AVERAGE(завтракл,обідл,ужинл)</f>
        <v>20</v>
      </c>
      <c r="G6" s="193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5"/>
      <c r="U6" s="180" t="s">
        <v>455</v>
      </c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5"/>
      <c r="AG6" s="5"/>
      <c r="AH6" s="17"/>
      <c r="AI6" s="5"/>
      <c r="AJ6" s="4"/>
      <c r="AK6" s="16"/>
      <c r="AL6" s="16"/>
      <c r="AP6">
        <v>5</v>
      </c>
      <c r="AQ6" s="61" t="s">
        <v>137</v>
      </c>
      <c r="AR6" s="60">
        <v>58.3</v>
      </c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>
        <v>20</v>
      </c>
      <c r="BE6" s="60"/>
      <c r="BF6" s="60"/>
      <c r="BG6" s="60"/>
      <c r="BH6" s="60"/>
      <c r="BI6" s="60"/>
      <c r="BJ6" s="60"/>
      <c r="BK6" s="60"/>
      <c r="BL6" s="60">
        <v>40</v>
      </c>
      <c r="BM6" s="60">
        <v>0.09</v>
      </c>
      <c r="BN6" s="60"/>
      <c r="BO6" s="60"/>
      <c r="BP6" s="60"/>
      <c r="BQ6" s="60"/>
      <c r="BR6" s="60"/>
      <c r="BS6" s="60"/>
      <c r="BT6" s="60"/>
      <c r="BU6" s="60"/>
      <c r="BV6" s="60"/>
      <c r="BW6" s="60">
        <v>0.2</v>
      </c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>
        <v>8</v>
      </c>
      <c r="CI6" s="60"/>
      <c r="CJ6" s="60"/>
      <c r="CK6" s="60"/>
      <c r="CL6" s="60">
        <v>3</v>
      </c>
      <c r="CM6" s="60">
        <v>0.6</v>
      </c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>
        <v>0.5</v>
      </c>
      <c r="DA6" s="60"/>
      <c r="DB6" s="60"/>
      <c r="DC6" s="60"/>
      <c r="DD6" s="60"/>
      <c r="DE6" s="60" t="s">
        <v>138</v>
      </c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</row>
    <row r="7" spans="1:129" ht="24.75" customHeight="1">
      <c r="A7" s="147"/>
      <c r="B7" s="148"/>
      <c r="C7" s="124"/>
      <c r="D7" s="124"/>
      <c r="E7" s="124"/>
      <c r="F7" s="194"/>
      <c r="G7" s="195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5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1" t="s">
        <v>456</v>
      </c>
      <c r="AG7" s="181"/>
      <c r="AH7" s="181"/>
      <c r="AI7" s="181"/>
      <c r="AJ7" s="181"/>
      <c r="AK7" s="181"/>
      <c r="AL7" s="181"/>
      <c r="AM7" s="181"/>
      <c r="AN7" s="181"/>
      <c r="AP7">
        <v>6</v>
      </c>
      <c r="AQ7" s="61" t="s">
        <v>139</v>
      </c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>
        <v>3.8</v>
      </c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>
        <v>19.9</v>
      </c>
      <c r="CH7" s="60"/>
      <c r="CI7" s="60"/>
      <c r="CJ7" s="60"/>
      <c r="CK7" s="60">
        <v>20.4</v>
      </c>
      <c r="CL7" s="60"/>
      <c r="CM7" s="60"/>
      <c r="CN7" s="60"/>
      <c r="CO7" s="60">
        <v>59.9</v>
      </c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>
        <v>75</v>
      </c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</row>
    <row r="8" spans="1:129" ht="24.75" customHeight="1">
      <c r="A8" s="147"/>
      <c r="B8" s="148"/>
      <c r="C8" s="124"/>
      <c r="D8" s="124"/>
      <c r="E8" s="124"/>
      <c r="F8" s="196"/>
      <c r="G8" s="19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P8">
        <v>7</v>
      </c>
      <c r="AQ8" s="61" t="s">
        <v>140</v>
      </c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>
        <v>3.8</v>
      </c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>
        <v>82</v>
      </c>
      <c r="CP8" s="60"/>
      <c r="CQ8" s="60">
        <v>15.3</v>
      </c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>
        <v>75</v>
      </c>
      <c r="DF8" s="60">
        <v>50</v>
      </c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ht="24.75" customHeight="1">
      <c r="A9" s="147"/>
      <c r="B9" s="148"/>
      <c r="C9" s="206" t="s">
        <v>87</v>
      </c>
      <c r="D9" s="206"/>
      <c r="E9" s="206"/>
      <c r="F9" s="207"/>
      <c r="G9" s="207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3"/>
      <c r="U9" s="13"/>
      <c r="V9" s="13"/>
      <c r="W9" s="13"/>
      <c r="X9" s="126" t="s">
        <v>457</v>
      </c>
      <c r="Y9" s="126"/>
      <c r="Z9" s="126"/>
      <c r="AA9" s="126"/>
      <c r="AB9" s="126"/>
      <c r="AC9" s="126"/>
      <c r="AD9" s="5"/>
      <c r="AE9" s="125" t="s">
        <v>84</v>
      </c>
      <c r="AF9" s="125"/>
      <c r="AG9" s="125" t="s">
        <v>83</v>
      </c>
      <c r="AH9" s="125"/>
      <c r="AI9" s="125" t="s">
        <v>82</v>
      </c>
      <c r="AJ9" s="125"/>
      <c r="AK9" s="125" t="s">
        <v>81</v>
      </c>
      <c r="AL9" s="125"/>
      <c r="AM9" s="125" t="s">
        <v>80</v>
      </c>
      <c r="AN9" s="125"/>
      <c r="AP9">
        <v>8</v>
      </c>
      <c r="AQ9" s="61" t="s">
        <v>141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>
        <v>3.8</v>
      </c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>
        <v>93</v>
      </c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>
        <v>75</v>
      </c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ht="37.5" customHeight="1">
      <c r="A10" s="147"/>
      <c r="B10" s="148"/>
      <c r="C10" s="206"/>
      <c r="D10" s="206"/>
      <c r="E10" s="206"/>
      <c r="F10" s="207"/>
      <c r="G10" s="207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3"/>
      <c r="U10" s="13"/>
      <c r="V10" s="13"/>
      <c r="W10" s="13"/>
      <c r="X10" s="126"/>
      <c r="Y10" s="126"/>
      <c r="Z10" s="126"/>
      <c r="AA10" s="126"/>
      <c r="AB10" s="126"/>
      <c r="AC10" s="126"/>
      <c r="AD10" s="9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P10" s="101">
        <v>9</v>
      </c>
      <c r="AQ10" s="61" t="s">
        <v>142</v>
      </c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>
        <v>3.8</v>
      </c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>
        <v>89.1</v>
      </c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>
        <v>75</v>
      </c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ht="24.75" customHeight="1">
      <c r="A11" s="147"/>
      <c r="B11" s="148"/>
      <c r="C11" s="206"/>
      <c r="D11" s="206"/>
      <c r="E11" s="206"/>
      <c r="F11" s="207"/>
      <c r="G11" s="207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3"/>
      <c r="U11" s="13"/>
      <c r="V11" s="13"/>
      <c r="W11" s="13"/>
      <c r="X11" s="126"/>
      <c r="Y11" s="126"/>
      <c r="Z11" s="126"/>
      <c r="AA11" s="126"/>
      <c r="AB11" s="126"/>
      <c r="AC11" s="126"/>
      <c r="AD11" s="4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P11">
        <v>10</v>
      </c>
      <c r="AQ11" s="61" t="s">
        <v>143</v>
      </c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>
        <v>3.8</v>
      </c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>
        <v>78</v>
      </c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>
        <v>2.7</v>
      </c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>
        <v>75</v>
      </c>
      <c r="DF11" s="60"/>
      <c r="DG11" s="60">
        <v>7</v>
      </c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ht="16.5" customHeight="1">
      <c r="A12" s="147"/>
      <c r="B12" s="148"/>
      <c r="C12" s="206"/>
      <c r="D12" s="206"/>
      <c r="E12" s="206"/>
      <c r="F12" s="207"/>
      <c r="G12" s="207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P12">
        <v>11</v>
      </c>
      <c r="AQ12" s="61" t="s">
        <v>144</v>
      </c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>
        <v>3.8</v>
      </c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>
        <v>12.6</v>
      </c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>
        <v>48</v>
      </c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>
        <v>75</v>
      </c>
      <c r="DF12" s="60"/>
      <c r="DG12" s="60">
        <v>2.3</v>
      </c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ht="24.75" customHeight="1">
      <c r="A13" s="147"/>
      <c r="B13" s="148"/>
      <c r="C13" s="206" t="s">
        <v>88</v>
      </c>
      <c r="D13" s="206"/>
      <c r="E13" s="206"/>
      <c r="F13" s="201">
        <f>AM181/сред</f>
        <v>62.38575835</v>
      </c>
      <c r="G13" s="201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P13">
        <v>12</v>
      </c>
      <c r="AQ13" s="61" t="s">
        <v>145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>
        <v>2.8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>
        <v>89</v>
      </c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>
        <v>75</v>
      </c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ht="36" customHeight="1">
      <c r="A14" s="147"/>
      <c r="B14" s="148"/>
      <c r="C14" s="206"/>
      <c r="D14" s="206"/>
      <c r="E14" s="206"/>
      <c r="F14" s="201"/>
      <c r="G14" s="201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P14">
        <v>13</v>
      </c>
      <c r="AQ14" s="61" t="s">
        <v>146</v>
      </c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>
        <v>3.8</v>
      </c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>
        <v>75</v>
      </c>
      <c r="CH14" s="60"/>
      <c r="CI14" s="60"/>
      <c r="CJ14" s="60"/>
      <c r="CK14" s="60"/>
      <c r="CL14" s="60">
        <v>16.7</v>
      </c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>
        <v>75</v>
      </c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ht="20.25" customHeight="1" hidden="1">
      <c r="A15" s="147"/>
      <c r="B15" s="148"/>
      <c r="C15" s="206"/>
      <c r="D15" s="206"/>
      <c r="E15" s="20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P15">
        <v>14</v>
      </c>
      <c r="AQ15" s="61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ht="20.25" customHeight="1" hidden="1">
      <c r="A16" s="147"/>
      <c r="B16" s="148"/>
      <c r="C16" s="206"/>
      <c r="D16" s="206"/>
      <c r="E16" s="20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P16">
        <v>15</v>
      </c>
      <c r="AQ16" s="61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P17">
        <v>16</v>
      </c>
      <c r="AQ17" s="61" t="s">
        <v>212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>
        <v>3.8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>
        <v>84.4</v>
      </c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>
        <v>3.9</v>
      </c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>
        <v>75</v>
      </c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ht="19.5" customHeight="1">
      <c r="A18" s="183" t="s">
        <v>74</v>
      </c>
      <c r="B18" s="213"/>
      <c r="C18" s="184"/>
      <c r="D18" s="184"/>
      <c r="E18" s="185"/>
      <c r="F18" s="149" t="s">
        <v>75</v>
      </c>
      <c r="G18" s="214" t="s">
        <v>95</v>
      </c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"/>
      <c r="AH18" s="198" t="s">
        <v>1</v>
      </c>
      <c r="AI18" s="208" t="s">
        <v>110</v>
      </c>
      <c r="AJ18" s="209"/>
      <c r="AK18" s="183" t="s">
        <v>85</v>
      </c>
      <c r="AL18" s="184"/>
      <c r="AM18" s="184"/>
      <c r="AN18" s="185"/>
      <c r="AP18">
        <v>17</v>
      </c>
      <c r="AQ18" s="61" t="s">
        <v>154</v>
      </c>
      <c r="AR18" s="60">
        <v>51.6</v>
      </c>
      <c r="AS18" s="60"/>
      <c r="AT18" s="60"/>
      <c r="AU18" s="60"/>
      <c r="AV18" s="60">
        <v>79.2</v>
      </c>
      <c r="AW18" s="60"/>
      <c r="AX18" s="60"/>
      <c r="AY18" s="60"/>
      <c r="AZ18" s="60">
        <v>0.85</v>
      </c>
      <c r="BA18" s="60"/>
      <c r="BB18" s="60"/>
      <c r="BC18" s="60">
        <v>3.8</v>
      </c>
      <c r="BD18" s="60">
        <v>47</v>
      </c>
      <c r="BE18" s="60"/>
      <c r="BF18" s="60"/>
      <c r="BG18" s="60"/>
      <c r="BH18" s="60"/>
      <c r="BI18" s="60"/>
      <c r="BJ18" s="60"/>
      <c r="BK18" s="60"/>
      <c r="BL18" s="60">
        <v>206</v>
      </c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>
        <v>9.9</v>
      </c>
      <c r="CJ18" s="60"/>
      <c r="CK18" s="60"/>
      <c r="CL18" s="60"/>
      <c r="CM18" s="60">
        <v>13.2</v>
      </c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>
        <v>150</v>
      </c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ht="19.5" customHeight="1">
      <c r="A19" s="216" t="s">
        <v>73</v>
      </c>
      <c r="B19" s="217"/>
      <c r="C19" s="217"/>
      <c r="D19" s="217"/>
      <c r="E19" s="218"/>
      <c r="F19" s="150"/>
      <c r="G19" s="131" t="s">
        <v>69</v>
      </c>
      <c r="H19" s="132"/>
      <c r="I19" s="132"/>
      <c r="J19" s="132"/>
      <c r="K19" s="132"/>
      <c r="L19" s="132"/>
      <c r="M19" s="132"/>
      <c r="N19" s="133"/>
      <c r="O19" s="131" t="s">
        <v>70</v>
      </c>
      <c r="P19" s="132"/>
      <c r="Q19" s="132"/>
      <c r="R19" s="132"/>
      <c r="S19" s="132"/>
      <c r="T19" s="132"/>
      <c r="U19" s="132"/>
      <c r="V19" s="133"/>
      <c r="W19" s="137" t="s">
        <v>71</v>
      </c>
      <c r="X19" s="137"/>
      <c r="Y19" s="137"/>
      <c r="Z19" s="132" t="s">
        <v>72</v>
      </c>
      <c r="AA19" s="132"/>
      <c r="AB19" s="132"/>
      <c r="AC19" s="132"/>
      <c r="AD19" s="132"/>
      <c r="AE19" s="132"/>
      <c r="AF19" s="132"/>
      <c r="AG19" s="132"/>
      <c r="AH19" s="199"/>
      <c r="AI19" s="210"/>
      <c r="AJ19" s="211"/>
      <c r="AK19" s="186" t="s">
        <v>5</v>
      </c>
      <c r="AL19" s="187"/>
      <c r="AM19" s="187"/>
      <c r="AN19" s="188"/>
      <c r="AP19">
        <v>18</v>
      </c>
      <c r="AQ19" s="61" t="s">
        <v>148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>
        <v>3.8</v>
      </c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>
        <v>11</v>
      </c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>
        <v>86.7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>
        <v>75</v>
      </c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ht="19.5" customHeight="1">
      <c r="A20" s="219"/>
      <c r="B20" s="220"/>
      <c r="C20" s="220"/>
      <c r="D20" s="220"/>
      <c r="E20" s="221"/>
      <c r="F20" s="150"/>
      <c r="G20" s="134"/>
      <c r="H20" s="135"/>
      <c r="I20" s="135"/>
      <c r="J20" s="135"/>
      <c r="K20" s="135"/>
      <c r="L20" s="135"/>
      <c r="M20" s="135"/>
      <c r="N20" s="136"/>
      <c r="O20" s="134"/>
      <c r="P20" s="135"/>
      <c r="Q20" s="135"/>
      <c r="R20" s="135"/>
      <c r="S20" s="135"/>
      <c r="T20" s="135"/>
      <c r="U20" s="135"/>
      <c r="V20" s="136"/>
      <c r="W20" s="137"/>
      <c r="X20" s="137"/>
      <c r="Y20" s="137"/>
      <c r="Z20" s="135"/>
      <c r="AA20" s="135"/>
      <c r="AB20" s="135"/>
      <c r="AC20" s="135"/>
      <c r="AD20" s="135"/>
      <c r="AE20" s="135"/>
      <c r="AF20" s="135"/>
      <c r="AG20" s="135"/>
      <c r="AH20" s="199"/>
      <c r="AI20" s="210"/>
      <c r="AJ20" s="211"/>
      <c r="AK20" s="189"/>
      <c r="AL20" s="190"/>
      <c r="AM20" s="190"/>
      <c r="AN20" s="191"/>
      <c r="AP20">
        <v>19</v>
      </c>
      <c r="AQ20" s="61" t="s">
        <v>332</v>
      </c>
      <c r="AR20" s="61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>
        <v>3.8</v>
      </c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>
        <v>3</v>
      </c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>
        <v>90.8</v>
      </c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>
        <v>75</v>
      </c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ht="280.5" customHeight="1">
      <c r="A21" s="222"/>
      <c r="B21" s="223"/>
      <c r="C21" s="223"/>
      <c r="D21" s="223"/>
      <c r="E21" s="224"/>
      <c r="F21" s="151"/>
      <c r="G21" s="66" t="s">
        <v>182</v>
      </c>
      <c r="H21" s="66" t="s">
        <v>331</v>
      </c>
      <c r="I21" s="66" t="s">
        <v>325</v>
      </c>
      <c r="J21" s="66" t="s">
        <v>230</v>
      </c>
      <c r="K21" s="66" t="s">
        <v>303</v>
      </c>
      <c r="L21" s="66" t="s">
        <v>458</v>
      </c>
      <c r="M21" s="66" t="s">
        <v>324</v>
      </c>
      <c r="N21" s="80"/>
      <c r="O21" s="67" t="s">
        <v>142</v>
      </c>
      <c r="P21" s="66" t="s">
        <v>349</v>
      </c>
      <c r="Q21" s="66" t="s">
        <v>370</v>
      </c>
      <c r="R21" s="66" t="s">
        <v>461</v>
      </c>
      <c r="S21" s="66" t="s">
        <v>227</v>
      </c>
      <c r="T21" s="66"/>
      <c r="U21" s="66"/>
      <c r="V21" s="66"/>
      <c r="W21" s="66" t="s">
        <v>327</v>
      </c>
      <c r="X21" s="66" t="s">
        <v>440</v>
      </c>
      <c r="Y21" s="80"/>
      <c r="Z21" s="67" t="s">
        <v>185</v>
      </c>
      <c r="AA21" s="66" t="s">
        <v>289</v>
      </c>
      <c r="AB21" s="66" t="s">
        <v>260</v>
      </c>
      <c r="AC21" s="66" t="s">
        <v>407</v>
      </c>
      <c r="AD21" s="66" t="s">
        <v>449</v>
      </c>
      <c r="AE21" s="66" t="s">
        <v>324</v>
      </c>
      <c r="AF21" s="66"/>
      <c r="AG21" s="80"/>
      <c r="AH21" s="200"/>
      <c r="AI21" s="118"/>
      <c r="AJ21" s="212"/>
      <c r="AK21" s="118" t="s">
        <v>111</v>
      </c>
      <c r="AL21" s="119"/>
      <c r="AM21" s="95" t="s">
        <v>112</v>
      </c>
      <c r="AN21" s="99" t="s">
        <v>113</v>
      </c>
      <c r="AP21">
        <v>20</v>
      </c>
      <c r="AQ21" s="61" t="s">
        <v>333</v>
      </c>
      <c r="AR21" s="61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>
        <v>3.8</v>
      </c>
      <c r="BE21" s="60"/>
      <c r="BF21" s="60"/>
      <c r="BG21" s="60">
        <v>7.5</v>
      </c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>
        <v>75</v>
      </c>
      <c r="DF21" s="60"/>
      <c r="DG21" s="60"/>
      <c r="DH21" s="60"/>
      <c r="DI21" s="60"/>
      <c r="DJ21" s="60"/>
      <c r="DK21" s="60"/>
      <c r="DL21" s="60"/>
      <c r="DM21" s="60"/>
      <c r="DN21" s="60"/>
      <c r="DO21" s="60">
        <v>70</v>
      </c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ht="24" customHeight="1">
      <c r="A22" s="117">
        <v>1</v>
      </c>
      <c r="B22" s="117"/>
      <c r="C22" s="117"/>
      <c r="D22" s="117"/>
      <c r="E22" s="117"/>
      <c r="F22" s="64">
        <v>2</v>
      </c>
      <c r="G22" s="72">
        <v>3</v>
      </c>
      <c r="H22" s="42">
        <v>4</v>
      </c>
      <c r="I22" s="42">
        <v>5</v>
      </c>
      <c r="J22" s="42">
        <v>6</v>
      </c>
      <c r="K22" s="42">
        <v>7</v>
      </c>
      <c r="L22" s="42">
        <v>8</v>
      </c>
      <c r="M22" s="42">
        <v>9</v>
      </c>
      <c r="N22" s="81">
        <v>10</v>
      </c>
      <c r="O22" s="43">
        <v>11</v>
      </c>
      <c r="P22" s="42">
        <v>12</v>
      </c>
      <c r="Q22" s="43">
        <v>13</v>
      </c>
      <c r="R22" s="42">
        <v>14</v>
      </c>
      <c r="S22" s="42">
        <v>15</v>
      </c>
      <c r="T22" s="42">
        <v>16</v>
      </c>
      <c r="U22" s="42">
        <v>17</v>
      </c>
      <c r="V22" s="42">
        <v>18</v>
      </c>
      <c r="W22" s="42">
        <v>19</v>
      </c>
      <c r="X22" s="42">
        <v>20</v>
      </c>
      <c r="Y22" s="81">
        <v>21</v>
      </c>
      <c r="Z22" s="43">
        <v>22</v>
      </c>
      <c r="AA22" s="42">
        <v>23</v>
      </c>
      <c r="AB22" s="42">
        <v>24</v>
      </c>
      <c r="AC22" s="42">
        <v>25</v>
      </c>
      <c r="AD22" s="42">
        <v>26</v>
      </c>
      <c r="AE22" s="42">
        <v>27</v>
      </c>
      <c r="AF22" s="42">
        <v>28</v>
      </c>
      <c r="AG22" s="81">
        <v>29</v>
      </c>
      <c r="AH22" s="98">
        <v>30</v>
      </c>
      <c r="AI22" s="202">
        <v>31</v>
      </c>
      <c r="AJ22" s="203"/>
      <c r="AK22" s="117">
        <v>32</v>
      </c>
      <c r="AL22" s="117"/>
      <c r="AM22" s="97">
        <v>33</v>
      </c>
      <c r="AN22" s="96">
        <v>34</v>
      </c>
      <c r="AP22">
        <v>21</v>
      </c>
      <c r="AQ22" s="61" t="s">
        <v>334</v>
      </c>
      <c r="AR22" s="61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>
        <v>3.8</v>
      </c>
      <c r="BE22" s="60"/>
      <c r="BF22" s="60"/>
      <c r="BG22" s="60">
        <v>7.5</v>
      </c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>
        <v>18</v>
      </c>
      <c r="CJ22" s="60"/>
      <c r="CK22" s="60"/>
      <c r="CL22" s="60"/>
      <c r="CM22" s="60"/>
      <c r="CN22" s="60"/>
      <c r="CO22" s="60"/>
      <c r="CP22" s="60"/>
      <c r="CQ22" s="60"/>
      <c r="CR22" s="60">
        <v>3.8</v>
      </c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>
        <v>75</v>
      </c>
      <c r="DF22" s="60"/>
      <c r="DG22" s="60"/>
      <c r="DH22" s="60"/>
      <c r="DI22" s="60"/>
      <c r="DJ22" s="60"/>
      <c r="DK22" s="60"/>
      <c r="DL22" s="60"/>
      <c r="DM22" s="60"/>
      <c r="DN22" s="60">
        <v>54</v>
      </c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ht="20.25">
      <c r="A23" s="152" t="s">
        <v>76</v>
      </c>
      <c r="B23" s="152"/>
      <c r="C23" s="152"/>
      <c r="D23" s="152"/>
      <c r="E23" s="152"/>
      <c r="F23" s="62" t="s">
        <v>1</v>
      </c>
      <c r="G23" s="73">
        <v>21</v>
      </c>
      <c r="H23" s="19">
        <f>G23</f>
        <v>21</v>
      </c>
      <c r="I23" s="19">
        <f>G23</f>
        <v>21</v>
      </c>
      <c r="J23" s="19">
        <f>G23</f>
        <v>21</v>
      </c>
      <c r="K23" s="19">
        <f>G23</f>
        <v>21</v>
      </c>
      <c r="L23" s="19">
        <f>G23</f>
        <v>21</v>
      </c>
      <c r="M23" s="19">
        <f>G23</f>
        <v>21</v>
      </c>
      <c r="N23" s="82">
        <f>G23</f>
        <v>21</v>
      </c>
      <c r="O23" s="20">
        <v>21</v>
      </c>
      <c r="P23" s="19">
        <f aca="true" t="shared" si="0" ref="P23:V23">O23</f>
        <v>21</v>
      </c>
      <c r="Q23" s="20">
        <f t="shared" si="0"/>
        <v>21</v>
      </c>
      <c r="R23" s="19">
        <f t="shared" si="0"/>
        <v>21</v>
      </c>
      <c r="S23" s="19">
        <f t="shared" si="0"/>
        <v>21</v>
      </c>
      <c r="T23" s="19">
        <f t="shared" si="0"/>
        <v>21</v>
      </c>
      <c r="U23" s="19">
        <f t="shared" si="0"/>
        <v>21</v>
      </c>
      <c r="V23" s="19">
        <f t="shared" si="0"/>
        <v>21</v>
      </c>
      <c r="W23" s="19">
        <v>20</v>
      </c>
      <c r="X23" s="19">
        <f>W23</f>
        <v>20</v>
      </c>
      <c r="Y23" s="82">
        <f>X23</f>
        <v>20</v>
      </c>
      <c r="Z23" s="20">
        <v>18</v>
      </c>
      <c r="AA23" s="19">
        <f>Z23</f>
        <v>18</v>
      </c>
      <c r="AB23" s="19">
        <f aca="true" t="shared" si="1" ref="AB23:AG23">AA23</f>
        <v>18</v>
      </c>
      <c r="AC23" s="19">
        <f t="shared" si="1"/>
        <v>18</v>
      </c>
      <c r="AD23" s="19">
        <f t="shared" si="1"/>
        <v>18</v>
      </c>
      <c r="AE23" s="19">
        <f t="shared" si="1"/>
        <v>18</v>
      </c>
      <c r="AF23" s="19">
        <f t="shared" si="1"/>
        <v>18</v>
      </c>
      <c r="AG23" s="82">
        <f t="shared" si="1"/>
        <v>18</v>
      </c>
      <c r="AH23" s="2"/>
      <c r="AI23" s="138"/>
      <c r="AJ23" s="138"/>
      <c r="AK23" s="120"/>
      <c r="AL23" s="120"/>
      <c r="AM23" s="1"/>
      <c r="AN23" s="2"/>
      <c r="AP23">
        <v>22</v>
      </c>
      <c r="AQ23" s="61" t="s">
        <v>335</v>
      </c>
      <c r="AR23" s="61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>
        <v>5.6</v>
      </c>
      <c r="BE23" s="60"/>
      <c r="BF23" s="60"/>
      <c r="BG23" s="60">
        <v>9.4</v>
      </c>
      <c r="BH23" s="60"/>
      <c r="BI23" s="60"/>
      <c r="BJ23" s="60">
        <v>0.2</v>
      </c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>
        <v>6</v>
      </c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>
        <v>75</v>
      </c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>
        <v>78</v>
      </c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ht="26.25" customHeight="1">
      <c r="A24" s="155" t="s">
        <v>77</v>
      </c>
      <c r="B24" s="155"/>
      <c r="C24" s="155"/>
      <c r="D24" s="155"/>
      <c r="E24" s="156"/>
      <c r="F24" s="63" t="s">
        <v>1</v>
      </c>
      <c r="G24" s="102">
        <f>IF(завтрак1="хліб житній",DS2,(IF(завтрак1="хліб пшеничний",DR2,(VLOOKUP(завтрак1,таб,67,FALSE)))))</f>
        <v>75</v>
      </c>
      <c r="H24" s="40">
        <f>IF(завтрак2="хліб житній",DS2,(IF(завтрак2="хліб пшеничний",DR2,(VLOOKUP(завтрак2,таб,67,FALSE)))))</f>
        <v>100</v>
      </c>
      <c r="I24" s="40">
        <f>IF(завтрак3="хліб житній",DS2,(IF(завтрак3="хліб пшеничний",DR2,(VLOOKUP(завтрак3,таб,67,FALSE)))))</f>
        <v>100</v>
      </c>
      <c r="J24" s="40">
        <v>200</v>
      </c>
      <c r="K24" s="40">
        <v>100</v>
      </c>
      <c r="L24" s="40">
        <v>1</v>
      </c>
      <c r="M24" s="40">
        <f>IF(завтрак7="хліб житній",DS2,(IF(завтрак7="хліб пшеничний",DR2,(VLOOKUP(завтрак7,таб,67,FALSE)))))</f>
        <v>30</v>
      </c>
      <c r="N24" s="83"/>
      <c r="O24" s="40">
        <f>IF(обед1="хліб житній",DU2,(IF(обед1="хліб пшеничний",DT2,(VLOOKUP(обед1,таб,67,FALSE)))))</f>
        <v>75</v>
      </c>
      <c r="P24" s="40">
        <f>IF(обед2="хліб житній",DU2,(IF(обед2="хліб пшеничний",DT2,(VLOOKUP(обед2,таб,67,FALSE)))))</f>
        <v>250</v>
      </c>
      <c r="Q24" s="40">
        <f>IF(обед3="хліб житній",DU2,(IF(обед3="хліб пшеничний",DT2,(VLOOKUP(обед3,таб,67,FALSE)))))</f>
        <v>150</v>
      </c>
      <c r="R24" s="40">
        <v>30</v>
      </c>
      <c r="S24" s="40">
        <v>150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39">
        <f>IF(обед8="хліб житній",DU2,(IF(обед8="хліб пшеничний",DT2,(VLOOKUP(обед8,таб,67,FALSE)))))</f>
        <v>0</v>
      </c>
      <c r="W24" s="39">
        <f>VLOOKUP(полдник1,таб,67,FALSE)</f>
        <v>100</v>
      </c>
      <c r="X24" s="39">
        <f>VLOOKUP(полдник2,таб,67,FALSE)</f>
        <v>125</v>
      </c>
      <c r="Y24" s="83">
        <f>VLOOKUP(полдник3,таб,67,FALSE)</f>
        <v>0</v>
      </c>
      <c r="Z24" s="40">
        <f>IF(ужин1="хліб житній",DW2,(IF(ужин1="хліб пшеничний",DV2,(VLOOKUP(ужин1,таб,67,FALSE)))))</f>
        <v>50</v>
      </c>
      <c r="AA24" s="39">
        <f>IF(ужин2="хліб житній",DW2,(IF(ужин2="хліб пшеничний",DV2,(VLOOKUP(ужин2,таб,67,FALSE)))))</f>
        <v>60</v>
      </c>
      <c r="AB24" s="39">
        <f>IF(ужин3="хліб житній",DW2,(IF(ужин3="хліб пшеничний",DV2,(VLOOKUP(ужин3,таб,67,FALSE)))))</f>
        <v>120</v>
      </c>
      <c r="AC24" s="39">
        <v>200</v>
      </c>
      <c r="AD24" s="39">
        <v>15</v>
      </c>
      <c r="AE24" s="39">
        <f>IF(ужин6="хліб житній",DW2,(IF(ужин6="хліб пшеничний",DV2,(VLOOKUP(ужин6,таб,67,FALSE)))))</f>
        <v>30</v>
      </c>
      <c r="AF24" s="39">
        <f>IF(ужин7="хліб житній",DW2,(IF(ужин7="хліб пшеничний",DV2,(VLOOKUP(ужин7,таб,67,FALSE)))))</f>
        <v>0</v>
      </c>
      <c r="AG24" s="83">
        <f>IF(ужин8="хліб житній",DW2,(IF(ужин8="хліб пшеничний",DV2,(VLOOKUP(ужин8,таб,67,FALSE)))))</f>
        <v>0</v>
      </c>
      <c r="AH24" s="92"/>
      <c r="AI24" s="182"/>
      <c r="AJ24" s="182"/>
      <c r="AK24" s="120"/>
      <c r="AL24" s="120"/>
      <c r="AM24" s="1"/>
      <c r="AN24" s="2"/>
      <c r="AP24">
        <v>23</v>
      </c>
      <c r="AQ24" s="61" t="s">
        <v>336</v>
      </c>
      <c r="AR24" s="61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>
        <v>11.3</v>
      </c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>
        <v>0.8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>
        <v>18.8</v>
      </c>
      <c r="CI24" s="60"/>
      <c r="CJ24" s="60">
        <v>56.6</v>
      </c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>
        <v>75</v>
      </c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ht="34.5" customHeight="1">
      <c r="A25" s="128" t="s">
        <v>7</v>
      </c>
      <c r="B25" s="128"/>
      <c r="C25" s="128"/>
      <c r="D25" s="128"/>
      <c r="E25" s="129"/>
      <c r="F25" s="68" t="s">
        <v>93</v>
      </c>
      <c r="G25" s="74">
        <f>VLOOKUP(завтрак1,таб,2,FALSE)</f>
        <v>0</v>
      </c>
      <c r="H25" s="57">
        <f>VLOOKUP(завтрак2,таб,2,FALSE)</f>
        <v>0</v>
      </c>
      <c r="I25" s="27">
        <f>VLOOKUP(завтрак3,таб,2,FALSE)</f>
        <v>0</v>
      </c>
      <c r="J25" s="28">
        <f>VLOOKUP(завтрак4,таб,2,FALSE)</f>
        <v>0</v>
      </c>
      <c r="K25" s="27">
        <f>VLOOKUP(завтрак5,таб,2,FALSE)</f>
        <v>0</v>
      </c>
      <c r="L25" s="106"/>
      <c r="M25" s="27">
        <f>VLOOKUP(завтрак7,таб,2,FALSE)</f>
        <v>0</v>
      </c>
      <c r="N25" s="84"/>
      <c r="O25" s="29">
        <f>VLOOKUP(обед1,таб,2,FALSE)</f>
        <v>0</v>
      </c>
      <c r="P25" s="27">
        <f>VLOOKUP(обед2,таб,2,FALSE)</f>
        <v>0</v>
      </c>
      <c r="Q25" s="28">
        <f>VLOOKUP(обед3,таб,2,FALSE)</f>
        <v>0</v>
      </c>
      <c r="R25" s="27"/>
      <c r="S25" s="28">
        <f>VLOOKUP(обед5,таб,2,FALSE)</f>
        <v>0</v>
      </c>
      <c r="T25" s="27">
        <f>VLOOKUP(обед6,таб,2,FALSE)</f>
        <v>0</v>
      </c>
      <c r="U25" s="28">
        <f>VLOOKUP(обед7,таб,2,FALSE)</f>
        <v>0</v>
      </c>
      <c r="V25" s="27">
        <f>VLOOKUP(обед8,таб,2,FALSE)</f>
        <v>0</v>
      </c>
      <c r="W25" s="27">
        <f>VLOOKUP(полдник1,таб,2,FALSE)</f>
        <v>0</v>
      </c>
      <c r="X25" s="27">
        <f>VLOOKUP(полдник2,таб,2,FALSE)</f>
        <v>0</v>
      </c>
      <c r="Y25" s="84">
        <f>VLOOKUP(полдник3,таб,2,FALSE)</f>
        <v>0</v>
      </c>
      <c r="Z25" s="29">
        <f>VLOOKUP(ужин1,таб,2,FALSE)</f>
        <v>0</v>
      </c>
      <c r="AA25" s="28">
        <f>VLOOKUP(ужин2,таб,2,FALSE)</f>
        <v>0</v>
      </c>
      <c r="AB25" s="27">
        <f>VLOOKUP(ужин3,таб,2,FALSE)</f>
        <v>0</v>
      </c>
      <c r="AC25" s="28">
        <f>VLOOKUP(ужин4,таб,2,FALSE)</f>
        <v>0</v>
      </c>
      <c r="AD25" s="27"/>
      <c r="AE25" s="28">
        <f>VLOOKUP(ужин6,таб,2,FALSE)</f>
        <v>0</v>
      </c>
      <c r="AF25" s="27">
        <f>VLOOKUP(ужин7,таб,2,FALSE)</f>
        <v>0</v>
      </c>
      <c r="AG25" s="84">
        <f>VLOOKUP(ужин8,таб,2,FALSE)</f>
        <v>0</v>
      </c>
      <c r="AH25" s="112">
        <v>610001</v>
      </c>
      <c r="AI25" s="122">
        <f>AK25/сред</f>
        <v>0</v>
      </c>
      <c r="AJ25" s="123"/>
      <c r="AK25" s="114">
        <f>SUM(G26:AG26)</f>
        <v>0</v>
      </c>
      <c r="AL25" s="114"/>
      <c r="AM25" s="175">
        <f>IF(AK25=0,0,AR117)</f>
        <v>0</v>
      </c>
      <c r="AN25" s="115">
        <f>AK25*AM25</f>
        <v>0</v>
      </c>
      <c r="AP25">
        <v>24</v>
      </c>
      <c r="AQ25" s="60" t="s">
        <v>337</v>
      </c>
      <c r="AR25" s="60"/>
      <c r="BC25">
        <v>3.8</v>
      </c>
      <c r="CF25">
        <v>22.5</v>
      </c>
      <c r="CK25">
        <v>32.3</v>
      </c>
      <c r="CO25">
        <v>40.8</v>
      </c>
      <c r="DE25" s="60">
        <v>75</v>
      </c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ht="34.5" customHeight="1">
      <c r="A26" s="128"/>
      <c r="B26" s="128"/>
      <c r="C26" s="128"/>
      <c r="D26" s="128"/>
      <c r="E26" s="129"/>
      <c r="F26" s="65" t="s">
        <v>94</v>
      </c>
      <c r="G26" s="75">
        <f aca="true" t="shared" si="2" ref="G26:M26">IF(G25=0,"",завтракл*G25/1000)</f>
      </c>
      <c r="H26" s="58">
        <f t="shared" si="2"/>
      </c>
      <c r="I26" s="45">
        <f t="shared" si="2"/>
      </c>
      <c r="J26" s="46">
        <f t="shared" si="2"/>
      </c>
      <c r="K26" s="45">
        <f t="shared" si="2"/>
      </c>
      <c r="L26" s="105"/>
      <c r="M26" s="45">
        <f t="shared" si="2"/>
      </c>
      <c r="N26" s="85"/>
      <c r="O26" s="47">
        <f aca="true" t="shared" si="3" ref="O26:T26">IF(O25=0,"",обідл*O25/1000)</f>
      </c>
      <c r="P26" s="45">
        <f t="shared" si="3"/>
      </c>
      <c r="Q26" s="46">
        <f t="shared" si="3"/>
      </c>
      <c r="R26" s="45"/>
      <c r="S26" s="46">
        <f t="shared" si="3"/>
      </c>
      <c r="T26" s="45">
        <f t="shared" si="3"/>
      </c>
      <c r="U26" s="46">
        <f>IF(U25=0,"",обідл*U25/1000)</f>
      </c>
      <c r="V26" s="45">
        <f>IF(V25=0,"",обідл*V25/1000)</f>
      </c>
      <c r="W26" s="45">
        <f>IF(W25=0,"",полдникл*W25/1000)</f>
      </c>
      <c r="X26" s="45">
        <f>IF(X25=0,"",полдникл*X25/1000)</f>
      </c>
      <c r="Y26" s="85">
        <f>IF(Y25=0,"",полдникл*Y25/1000)</f>
      </c>
      <c r="Z26" s="47">
        <f aca="true" t="shared" si="4" ref="Z26:AG26">IF(Z25=0,"",ужинл*Z25/1000)</f>
      </c>
      <c r="AA26" s="46">
        <f t="shared" si="4"/>
      </c>
      <c r="AB26" s="45">
        <f t="shared" si="4"/>
      </c>
      <c r="AC26" s="46">
        <f t="shared" si="4"/>
      </c>
      <c r="AD26" s="45"/>
      <c r="AE26" s="46">
        <f t="shared" si="4"/>
      </c>
      <c r="AF26" s="45">
        <f t="shared" si="4"/>
      </c>
      <c r="AG26" s="85">
        <f t="shared" si="4"/>
      </c>
      <c r="AH26" s="113"/>
      <c r="AI26" s="122"/>
      <c r="AJ26" s="123"/>
      <c r="AK26" s="114"/>
      <c r="AL26" s="114"/>
      <c r="AM26" s="176"/>
      <c r="AN26" s="116"/>
      <c r="AP26">
        <v>25</v>
      </c>
      <c r="AQ26" s="61" t="s">
        <v>338</v>
      </c>
      <c r="AR26" s="61"/>
      <c r="AS26" s="60"/>
      <c r="AT26" s="60"/>
      <c r="AU26" s="60"/>
      <c r="AV26" s="60"/>
      <c r="AW26" s="60">
        <v>42</v>
      </c>
      <c r="AX26" s="60"/>
      <c r="AY26" s="60"/>
      <c r="AZ26" s="60"/>
      <c r="BA26" s="60"/>
      <c r="BB26" s="60"/>
      <c r="BC26" s="60">
        <v>3.8</v>
      </c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>
        <v>1.1</v>
      </c>
      <c r="BX26" s="60"/>
      <c r="BY26" s="60"/>
      <c r="BZ26" s="60"/>
      <c r="CA26" s="60"/>
      <c r="CB26" s="60"/>
      <c r="CC26" s="60"/>
      <c r="CD26" s="60"/>
      <c r="CE26" s="60"/>
      <c r="CF26" s="60">
        <v>18.8</v>
      </c>
      <c r="CG26" s="60">
        <v>30.9</v>
      </c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>
        <v>75</v>
      </c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ht="34.5" customHeight="1">
      <c r="A27" s="128" t="s">
        <v>3</v>
      </c>
      <c r="B27" s="128"/>
      <c r="C27" s="128"/>
      <c r="D27" s="128"/>
      <c r="E27" s="129"/>
      <c r="F27" s="68" t="s">
        <v>93</v>
      </c>
      <c r="G27" s="74">
        <f>VLOOKUP(завтрак1,таб,3,FALSE)</f>
        <v>0</v>
      </c>
      <c r="H27" s="28">
        <f>VLOOKUP(завтрак2,таб,3,FALSE)</f>
        <v>0</v>
      </c>
      <c r="I27" s="27">
        <f>VLOOKUP(завтрак3,таб,3,FALSE)</f>
        <v>0</v>
      </c>
      <c r="J27" s="28">
        <f>VLOOKUP(завтрак4,таб,3,FALSE)</f>
        <v>0</v>
      </c>
      <c r="K27" s="27">
        <f>VLOOKUP(завтрак5,таб,3,FALSE)</f>
        <v>0</v>
      </c>
      <c r="L27" s="106"/>
      <c r="M27" s="27">
        <f>VLOOKUP(завтрак7,таб,3,FALSE)</f>
        <v>0</v>
      </c>
      <c r="N27" s="84"/>
      <c r="O27" s="29">
        <f>VLOOKUP(обед1,таб,3,FALSE)</f>
        <v>0</v>
      </c>
      <c r="P27" s="27">
        <f>VLOOKUP(обед2,таб,3,FALSE)</f>
        <v>0</v>
      </c>
      <c r="Q27" s="28">
        <f>VLOOKUP(обед3,таб,3,FALSE)</f>
        <v>0</v>
      </c>
      <c r="R27" s="27"/>
      <c r="S27" s="28">
        <f>VLOOKUP(обед5,таб,3,FALSE)</f>
        <v>0</v>
      </c>
      <c r="T27" s="27">
        <f>VLOOKUP(обед6,таб,3,FALSE)</f>
        <v>0</v>
      </c>
      <c r="U27" s="28">
        <f>VLOOKUP(обед7,таб,3,FALSE)</f>
        <v>0</v>
      </c>
      <c r="V27" s="27">
        <f>VLOOKUP(обед8,таб,3,FALSE)</f>
        <v>0</v>
      </c>
      <c r="W27" s="27">
        <f>VLOOKUP(полдник1,таб,3,FALSE)</f>
        <v>0</v>
      </c>
      <c r="X27" s="27">
        <f>VLOOKUP(полдник2,таб,3,FALSE)</f>
        <v>0</v>
      </c>
      <c r="Y27" s="84">
        <f>VLOOKUP(полдник3,таб,3,FALSE)</f>
        <v>0</v>
      </c>
      <c r="Z27" s="29">
        <f>VLOOKUP(ужин1,таб,3,FALSE)</f>
        <v>0</v>
      </c>
      <c r="AA27" s="28">
        <f>VLOOKUP(ужин2,таб,3,FALSE)</f>
        <v>0</v>
      </c>
      <c r="AB27" s="27">
        <f>VLOOKUP(ужин3,таб,3,FALSE)</f>
        <v>0</v>
      </c>
      <c r="AC27" s="28">
        <f>VLOOKUP(ужин4,таб,3,FALSE)</f>
        <v>0</v>
      </c>
      <c r="AD27" s="27"/>
      <c r="AE27" s="28">
        <f>VLOOKUP(ужин6,таб,3,FALSE)</f>
        <v>0</v>
      </c>
      <c r="AF27" s="27">
        <f>VLOOKUP(ужин7,таб,3,FALSE)</f>
        <v>0</v>
      </c>
      <c r="AG27" s="84">
        <f>VLOOKUP(ужин8,таб,3,FALSE)</f>
        <v>0</v>
      </c>
      <c r="AH27" s="112">
        <v>610002</v>
      </c>
      <c r="AI27" s="122">
        <f>AK27/сред</f>
        <v>0</v>
      </c>
      <c r="AJ27" s="123"/>
      <c r="AK27" s="114">
        <f>SUM(G28:AG28)</f>
        <v>0</v>
      </c>
      <c r="AL27" s="114"/>
      <c r="AM27" s="175">
        <f>IF(AK27=0,0,AS117)</f>
        <v>0</v>
      </c>
      <c r="AN27" s="115">
        <f>AK27*AM27</f>
        <v>0</v>
      </c>
      <c r="AP27">
        <v>26</v>
      </c>
      <c r="AQ27" s="60" t="s">
        <v>339</v>
      </c>
      <c r="AR27" s="60"/>
      <c r="BC27">
        <v>3.5</v>
      </c>
      <c r="CJ27">
        <v>16.3</v>
      </c>
      <c r="CL27">
        <v>26.8</v>
      </c>
      <c r="DE27" s="60">
        <v>100</v>
      </c>
      <c r="DG27">
        <v>6.8</v>
      </c>
      <c r="DK27">
        <v>20.4</v>
      </c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ht="34.5" customHeight="1">
      <c r="A28" s="128"/>
      <c r="B28" s="128"/>
      <c r="C28" s="128"/>
      <c r="D28" s="128"/>
      <c r="E28" s="129"/>
      <c r="F28" s="65" t="s">
        <v>94</v>
      </c>
      <c r="G28" s="75">
        <f aca="true" t="shared" si="5" ref="G28:M28">IF(G27=0,"",завтракл*G27/1000)</f>
      </c>
      <c r="H28" s="46">
        <f t="shared" si="5"/>
      </c>
      <c r="I28" s="45">
        <f t="shared" si="5"/>
      </c>
      <c r="J28" s="46">
        <f t="shared" si="5"/>
      </c>
      <c r="K28" s="45">
        <f t="shared" si="5"/>
      </c>
      <c r="L28" s="105"/>
      <c r="M28" s="45">
        <f t="shared" si="5"/>
      </c>
      <c r="N28" s="85"/>
      <c r="O28" s="47">
        <f aca="true" t="shared" si="6" ref="O28:T28">IF(O27=0,"",обідл*O27/1000)</f>
      </c>
      <c r="P28" s="45">
        <f t="shared" si="6"/>
      </c>
      <c r="Q28" s="46">
        <f t="shared" si="6"/>
      </c>
      <c r="R28" s="45"/>
      <c r="S28" s="46">
        <f t="shared" si="6"/>
      </c>
      <c r="T28" s="45">
        <f t="shared" si="6"/>
      </c>
      <c r="U28" s="46">
        <f>IF(U27=0,"",обідл*U27/1000)</f>
      </c>
      <c r="V28" s="45">
        <f>IF(V27=0,"",обідл*V27/1000)</f>
      </c>
      <c r="W28" s="45">
        <f>IF(W27=0,"",полдникл*W27/1000)</f>
      </c>
      <c r="X28" s="45">
        <f>IF(X27=0,"",полдникл*X27/1000)</f>
      </c>
      <c r="Y28" s="85">
        <f>IF(Y27=0,"",полдникл*Y27/1000)</f>
      </c>
      <c r="Z28" s="47">
        <f aca="true" t="shared" si="7" ref="Z28:AG28">IF(Z27=0,"",ужинл*Z27/1000)</f>
      </c>
      <c r="AA28" s="46">
        <f t="shared" si="7"/>
      </c>
      <c r="AB28" s="45">
        <f t="shared" si="7"/>
      </c>
      <c r="AC28" s="46">
        <f t="shared" si="7"/>
      </c>
      <c r="AD28" s="45"/>
      <c r="AE28" s="46">
        <f t="shared" si="7"/>
      </c>
      <c r="AF28" s="45">
        <f t="shared" si="7"/>
      </c>
      <c r="AG28" s="85">
        <f t="shared" si="7"/>
      </c>
      <c r="AH28" s="113"/>
      <c r="AI28" s="122"/>
      <c r="AJ28" s="123"/>
      <c r="AK28" s="114"/>
      <c r="AL28" s="114"/>
      <c r="AM28" s="176"/>
      <c r="AN28" s="116"/>
      <c r="AP28">
        <v>27</v>
      </c>
      <c r="AQ28" s="61" t="s">
        <v>340</v>
      </c>
      <c r="AR28" s="61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>
        <v>2</v>
      </c>
      <c r="BD28" s="60"/>
      <c r="BE28" s="60"/>
      <c r="BF28" s="60"/>
      <c r="BG28" s="60">
        <v>9</v>
      </c>
      <c r="BH28" s="60"/>
      <c r="BI28" s="60">
        <v>9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>
        <v>67.8</v>
      </c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>
        <v>75</v>
      </c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ht="34.5" customHeight="1">
      <c r="A29" s="153" t="s">
        <v>8</v>
      </c>
      <c r="B29" s="153"/>
      <c r="C29" s="153"/>
      <c r="D29" s="153"/>
      <c r="E29" s="154"/>
      <c r="F29" s="68" t="s">
        <v>93</v>
      </c>
      <c r="G29" s="74">
        <f>VLOOKUP(завтрак1,таб,4,FALSE)</f>
        <v>0</v>
      </c>
      <c r="H29" s="28">
        <f>VLOOKUP(завтрак2,таб,4,FALSE)</f>
        <v>0</v>
      </c>
      <c r="I29" s="27">
        <f>VLOOKUP(завтрак3,таб,4,FALSE)</f>
        <v>0</v>
      </c>
      <c r="J29" s="28">
        <f>VLOOKUP(завтрак4,таб,4,FALSE)</f>
        <v>0</v>
      </c>
      <c r="K29" s="27">
        <f>VLOOKUP(завтрак5,таб,4,FALSE)</f>
        <v>0</v>
      </c>
      <c r="L29" s="106"/>
      <c r="M29" s="27">
        <f>VLOOKUP(завтрак7,таб,4,FALSE)</f>
        <v>0</v>
      </c>
      <c r="N29" s="84"/>
      <c r="O29" s="29">
        <f>VLOOKUP(обед1,таб,4,FALSE)</f>
        <v>0</v>
      </c>
      <c r="P29" s="27">
        <f>VLOOKUP(обед2,таб,4,FALSE)</f>
        <v>0</v>
      </c>
      <c r="Q29" s="28">
        <v>72.8</v>
      </c>
      <c r="R29" s="27"/>
      <c r="S29" s="28">
        <f>VLOOKUP(обед5,таб,4,FALSE)</f>
        <v>0</v>
      </c>
      <c r="T29" s="27">
        <f>VLOOKUP(обед6,таб,4,FALSE)</f>
        <v>0</v>
      </c>
      <c r="U29" s="28">
        <f>VLOOKUP(обед7,таб,4,FALSE)</f>
        <v>0</v>
      </c>
      <c r="V29" s="27">
        <f>VLOOKUP(обед8,таб,4,FALSE)</f>
        <v>0</v>
      </c>
      <c r="W29" s="27">
        <f>VLOOKUP(полдник1,таб,4,FALSE)</f>
        <v>0</v>
      </c>
      <c r="X29" s="27">
        <f>VLOOKUP(полдник2,таб,4,FALSE)</f>
        <v>0</v>
      </c>
      <c r="Y29" s="84">
        <f>VLOOKUP(полдник3,таб,4,FALSE)</f>
        <v>0</v>
      </c>
      <c r="Z29" s="29">
        <f>VLOOKUP(ужин1,таб,4,FALSE)</f>
        <v>0</v>
      </c>
      <c r="AA29" s="28">
        <v>102</v>
      </c>
      <c r="AB29" s="27">
        <f>VLOOKUP(ужин3,таб,4,FALSE)</f>
        <v>0</v>
      </c>
      <c r="AC29" s="28">
        <f>VLOOKUP(ужин4,таб,4,FALSE)</f>
        <v>0</v>
      </c>
      <c r="AD29" s="27"/>
      <c r="AE29" s="28">
        <f>VLOOKUP(ужин6,таб,4,FALSE)</f>
        <v>0</v>
      </c>
      <c r="AF29" s="27">
        <f>VLOOKUP(ужин7,таб,4,FALSE)</f>
        <v>0</v>
      </c>
      <c r="AG29" s="84">
        <f>VLOOKUP(ужин8,таб,4,FALSE)</f>
        <v>0</v>
      </c>
      <c r="AH29" s="112">
        <v>610009</v>
      </c>
      <c r="AI29" s="122">
        <f>AK29/сред</f>
        <v>0.16824</v>
      </c>
      <c r="AJ29" s="123"/>
      <c r="AK29" s="114">
        <f>SUM(G30:AG30)</f>
        <v>3.3648</v>
      </c>
      <c r="AL29" s="114"/>
      <c r="AM29" s="175">
        <v>98.92</v>
      </c>
      <c r="AN29" s="115">
        <f>AK29*AM29</f>
        <v>332.84601599999996</v>
      </c>
      <c r="AP29">
        <v>28</v>
      </c>
      <c r="AQ29" s="60" t="s">
        <v>341</v>
      </c>
      <c r="AR29" s="60"/>
      <c r="BC29">
        <v>3</v>
      </c>
      <c r="CO29">
        <v>41.1</v>
      </c>
      <c r="CQ29">
        <v>3</v>
      </c>
      <c r="DE29" s="60">
        <v>75</v>
      </c>
      <c r="DK29">
        <v>17.6</v>
      </c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ht="34.5" customHeight="1">
      <c r="A30" s="128"/>
      <c r="B30" s="128"/>
      <c r="C30" s="128"/>
      <c r="D30" s="128"/>
      <c r="E30" s="129"/>
      <c r="F30" s="65" t="s">
        <v>94</v>
      </c>
      <c r="G30" s="75">
        <f aca="true" t="shared" si="8" ref="G30:M30">IF(G29=0,"",завтракл*G29/1000)</f>
      </c>
      <c r="H30" s="46">
        <f t="shared" si="8"/>
      </c>
      <c r="I30" s="45">
        <f t="shared" si="8"/>
      </c>
      <c r="J30" s="46">
        <f t="shared" si="8"/>
      </c>
      <c r="K30" s="45">
        <f t="shared" si="8"/>
      </c>
      <c r="L30" s="105"/>
      <c r="M30" s="45">
        <f t="shared" si="8"/>
      </c>
      <c r="N30" s="85"/>
      <c r="O30" s="47">
        <f aca="true" t="shared" si="9" ref="O30:T30">IF(O29=0,"",обідл*O29/1000)</f>
      </c>
      <c r="P30" s="45">
        <f t="shared" si="9"/>
      </c>
      <c r="Q30" s="46">
        <f t="shared" si="9"/>
        <v>1.5288</v>
      </c>
      <c r="R30" s="45"/>
      <c r="S30" s="46">
        <f t="shared" si="9"/>
      </c>
      <c r="T30" s="45">
        <f t="shared" si="9"/>
      </c>
      <c r="U30" s="46">
        <f>IF(U29=0,"",обідл*U29/1000)</f>
      </c>
      <c r="V30" s="45">
        <f>IF(V29=0,"",обідл*V29/1000)</f>
      </c>
      <c r="W30" s="45">
        <f>IF(W29=0,"",полдникл*W29/1000)</f>
      </c>
      <c r="X30" s="45">
        <f>IF(X29=0,"",полдникл*X29/1000)</f>
      </c>
      <c r="Y30" s="85">
        <f>IF(Y29=0,"",полдникл*Y29/1000)</f>
      </c>
      <c r="Z30" s="47">
        <f aca="true" t="shared" si="10" ref="Z30:AG30">IF(Z29=0,"",ужинл*Z29/1000)</f>
      </c>
      <c r="AA30" s="46">
        <f t="shared" si="10"/>
        <v>1.836</v>
      </c>
      <c r="AB30" s="45">
        <f t="shared" si="10"/>
      </c>
      <c r="AC30" s="46">
        <f t="shared" si="10"/>
      </c>
      <c r="AD30" s="45"/>
      <c r="AE30" s="46">
        <f t="shared" si="10"/>
      </c>
      <c r="AF30" s="45">
        <f t="shared" si="10"/>
      </c>
      <c r="AG30" s="85">
        <f t="shared" si="10"/>
      </c>
      <c r="AH30" s="113"/>
      <c r="AI30" s="122"/>
      <c r="AJ30" s="123"/>
      <c r="AK30" s="114"/>
      <c r="AL30" s="114"/>
      <c r="AM30" s="176"/>
      <c r="AN30" s="116"/>
      <c r="AP30">
        <v>29</v>
      </c>
      <c r="AQ30" s="61" t="s">
        <v>342</v>
      </c>
      <c r="AR30" s="61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>
        <v>7.3</v>
      </c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>
        <v>18.7</v>
      </c>
      <c r="CI30" s="60">
        <v>14.8</v>
      </c>
      <c r="CJ30" s="60">
        <v>11.1</v>
      </c>
      <c r="CK30" s="60"/>
      <c r="CL30" s="60"/>
      <c r="CM30" s="60"/>
      <c r="CN30" s="60"/>
      <c r="CO30" s="60"/>
      <c r="CP30" s="60"/>
      <c r="CQ30" s="60"/>
      <c r="CR30" s="60"/>
      <c r="CS30" s="60"/>
      <c r="CT30" s="60">
        <v>17.8</v>
      </c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>
        <v>250</v>
      </c>
      <c r="DF30" s="60"/>
      <c r="DG30" s="60"/>
      <c r="DH30" s="60"/>
      <c r="DI30" s="60"/>
      <c r="DJ30" s="60">
        <v>17.8</v>
      </c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ht="34.5" customHeight="1">
      <c r="A31" s="128" t="s">
        <v>107</v>
      </c>
      <c r="B31" s="128"/>
      <c r="C31" s="128"/>
      <c r="D31" s="128"/>
      <c r="E31" s="129"/>
      <c r="F31" s="68" t="s">
        <v>93</v>
      </c>
      <c r="G31" s="74">
        <f>VLOOKUP(завтрак1,таб,5,FALSE)</f>
        <v>0</v>
      </c>
      <c r="H31" s="28">
        <f>VLOOKUP(завтрак2,таб,5,FALSE)</f>
        <v>0</v>
      </c>
      <c r="I31" s="27">
        <f>VLOOKUP(завтрак3,таб,5,FALSE)</f>
        <v>0</v>
      </c>
      <c r="J31" s="28">
        <f>VLOOKUP(завтрак4,таб,5,FALSE)</f>
        <v>0</v>
      </c>
      <c r="K31" s="27">
        <f>VLOOKUP(завтрак5,таб,5,FALSE)</f>
        <v>0</v>
      </c>
      <c r="L31" s="106"/>
      <c r="M31" s="27">
        <f>VLOOKUP(завтрак7,таб,5,FALSE)</f>
        <v>0</v>
      </c>
      <c r="N31" s="84"/>
      <c r="O31" s="29">
        <f>VLOOKUP(обед1,таб,5,FALSE)</f>
        <v>0</v>
      </c>
      <c r="P31" s="27">
        <f>VLOOKUP(обед2,таб,5,FALSE)</f>
        <v>0</v>
      </c>
      <c r="Q31" s="28">
        <f>VLOOKUP(обед3,таб,5,FALSE)</f>
        <v>0</v>
      </c>
      <c r="R31" s="27"/>
      <c r="S31" s="28">
        <f>VLOOKUP(обед5,таб,5,FALSE)</f>
        <v>0</v>
      </c>
      <c r="T31" s="27">
        <f>VLOOKUP(обед6,таб,5,FALSE)</f>
        <v>0</v>
      </c>
      <c r="U31" s="28">
        <f>VLOOKUP(обед7,таб,5,FALSE)</f>
        <v>0</v>
      </c>
      <c r="V31" s="27">
        <f>VLOOKUP(обед8,таб,5,FALSE)</f>
        <v>0</v>
      </c>
      <c r="W31" s="27">
        <f>VLOOKUP(полдник1,таб,5,FALSE)</f>
        <v>0</v>
      </c>
      <c r="X31" s="27">
        <f>VLOOKUP(полдник2,таб,5,FALSE)</f>
        <v>0</v>
      </c>
      <c r="Y31" s="84">
        <f>VLOOKUP(полдник3,таб,5,FALSE)</f>
        <v>0</v>
      </c>
      <c r="Z31" s="29">
        <f>VLOOKUP(ужин1,таб,5,FALSE)</f>
        <v>0</v>
      </c>
      <c r="AA31" s="28">
        <f>VLOOKUP(ужин2,таб,5,FALSE)</f>
        <v>0</v>
      </c>
      <c r="AB31" s="27">
        <f>VLOOKUP(ужин3,таб,5,FALSE)</f>
        <v>0</v>
      </c>
      <c r="AC31" s="28">
        <f>VLOOKUP(ужин4,таб,5,FALSE)</f>
        <v>0</v>
      </c>
      <c r="AD31" s="27"/>
      <c r="AE31" s="28">
        <f>VLOOKUP(ужин6,таб,5,FALSE)</f>
        <v>0</v>
      </c>
      <c r="AF31" s="27">
        <f>VLOOKUP(ужин7,таб,5,FALSE)</f>
        <v>0</v>
      </c>
      <c r="AG31" s="84">
        <f>VLOOKUP(ужин8,таб,5,FALSE)</f>
        <v>0</v>
      </c>
      <c r="AH31" s="112">
        <v>610024</v>
      </c>
      <c r="AI31" s="122">
        <f>AK31/сред</f>
        <v>0</v>
      </c>
      <c r="AJ31" s="123"/>
      <c r="AK31" s="114">
        <f>SUM(G32:AG32)</f>
        <v>0</v>
      </c>
      <c r="AL31" s="114"/>
      <c r="AM31" s="175">
        <f>IF(AK31=0,0,AU117)</f>
        <v>0</v>
      </c>
      <c r="AN31" s="115">
        <f>AK31*AM31</f>
        <v>0</v>
      </c>
      <c r="AP31">
        <v>30</v>
      </c>
      <c r="AQ31" s="61" t="s">
        <v>343</v>
      </c>
      <c r="AR31" s="61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>
        <v>15.5</v>
      </c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>
        <v>125</v>
      </c>
      <c r="CH31" s="60"/>
      <c r="CI31" s="60">
        <v>6.2</v>
      </c>
      <c r="CJ31" s="60">
        <v>31.3</v>
      </c>
      <c r="CK31" s="60"/>
      <c r="CL31" s="60"/>
      <c r="CM31" s="60"/>
      <c r="CN31" s="60">
        <v>8.8</v>
      </c>
      <c r="CO31" s="60"/>
      <c r="CP31" s="60"/>
      <c r="CQ31" s="60"/>
      <c r="CR31" s="60"/>
      <c r="CS31" s="60"/>
      <c r="CT31" s="60">
        <v>10.8</v>
      </c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>
        <v>250</v>
      </c>
      <c r="DF31" s="60"/>
      <c r="DG31" s="60"/>
      <c r="DH31" s="60"/>
      <c r="DI31" s="60"/>
      <c r="DJ31" s="60"/>
      <c r="DK31" s="60"/>
      <c r="DL31" s="60"/>
      <c r="DM31" s="60"/>
      <c r="DN31" s="60">
        <v>10</v>
      </c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ht="34.5" customHeight="1">
      <c r="A32" s="128"/>
      <c r="B32" s="128"/>
      <c r="C32" s="128"/>
      <c r="D32" s="128"/>
      <c r="E32" s="129"/>
      <c r="F32" s="65" t="s">
        <v>94</v>
      </c>
      <c r="G32" s="75">
        <f aca="true" t="shared" si="11" ref="G32:M32">IF(G31=0,"",завтракл*G31/1000)</f>
      </c>
      <c r="H32" s="46">
        <f t="shared" si="11"/>
      </c>
      <c r="I32" s="45">
        <f t="shared" si="11"/>
      </c>
      <c r="J32" s="46">
        <f t="shared" si="11"/>
      </c>
      <c r="K32" s="45">
        <f t="shared" si="11"/>
      </c>
      <c r="L32" s="105"/>
      <c r="M32" s="45">
        <f t="shared" si="11"/>
      </c>
      <c r="N32" s="85"/>
      <c r="O32" s="47">
        <f aca="true" t="shared" si="12" ref="O32:T32">IF(O31=0,"",обідл*O31/1000)</f>
      </c>
      <c r="P32" s="45">
        <f t="shared" si="12"/>
      </c>
      <c r="Q32" s="46">
        <f t="shared" si="12"/>
      </c>
      <c r="R32" s="45"/>
      <c r="S32" s="46">
        <f t="shared" si="12"/>
      </c>
      <c r="T32" s="45">
        <f t="shared" si="12"/>
      </c>
      <c r="U32" s="46">
        <f>IF(U31=0,"",обідл*U31/1000)</f>
      </c>
      <c r="V32" s="45">
        <f>IF(V31=0,"",обідл*V31/1000)</f>
      </c>
      <c r="W32" s="45">
        <f>IF(W31=0,"",полдникл*W31/1000)</f>
      </c>
      <c r="X32" s="45">
        <f>IF(X31=0,"",полдникл*X31/1000)</f>
      </c>
      <c r="Y32" s="85">
        <f>IF(Y31=0,"",полдникл*Y31/1000)</f>
      </c>
      <c r="Z32" s="47">
        <f aca="true" t="shared" si="13" ref="Z32:AG32">IF(Z31=0,"",завтракл*Z31/1000)</f>
      </c>
      <c r="AA32" s="46">
        <f t="shared" si="13"/>
      </c>
      <c r="AB32" s="45">
        <f t="shared" si="13"/>
      </c>
      <c r="AC32" s="46">
        <f t="shared" si="13"/>
      </c>
      <c r="AD32" s="45"/>
      <c r="AE32" s="46">
        <f t="shared" si="13"/>
      </c>
      <c r="AF32" s="45">
        <f t="shared" si="13"/>
      </c>
      <c r="AG32" s="85">
        <f t="shared" si="13"/>
      </c>
      <c r="AH32" s="113"/>
      <c r="AI32" s="122"/>
      <c r="AJ32" s="123"/>
      <c r="AK32" s="114"/>
      <c r="AL32" s="114"/>
      <c r="AM32" s="176"/>
      <c r="AN32" s="116"/>
      <c r="AP32">
        <v>31</v>
      </c>
      <c r="AQ32" s="61" t="s">
        <v>344</v>
      </c>
      <c r="AR32" s="61"/>
      <c r="AS32" s="60"/>
      <c r="AT32" s="60"/>
      <c r="AU32" s="60"/>
      <c r="AV32" s="60"/>
      <c r="AW32" s="60"/>
      <c r="AX32" s="60"/>
      <c r="AY32" s="60"/>
      <c r="AZ32" s="60">
        <v>5</v>
      </c>
      <c r="BA32" s="60"/>
      <c r="BB32" s="60"/>
      <c r="BC32" s="60"/>
      <c r="BD32" s="60"/>
      <c r="BE32" s="60"/>
      <c r="BF32" s="60"/>
      <c r="BG32" s="60"/>
      <c r="BH32" s="60"/>
      <c r="BI32" s="60"/>
      <c r="BJ32" s="60">
        <v>0.1</v>
      </c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>
        <v>18.8</v>
      </c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>
        <v>125</v>
      </c>
      <c r="CH32" s="60"/>
      <c r="CI32" s="60">
        <v>7.5</v>
      </c>
      <c r="CJ32" s="60">
        <v>30</v>
      </c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>
        <v>0.3</v>
      </c>
      <c r="DD32" s="60"/>
      <c r="DE32" s="60">
        <v>250</v>
      </c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ht="34.5" customHeight="1">
      <c r="A33" s="128" t="s">
        <v>9</v>
      </c>
      <c r="B33" s="128"/>
      <c r="C33" s="128"/>
      <c r="D33" s="128"/>
      <c r="E33" s="129"/>
      <c r="F33" s="68" t="s">
        <v>93</v>
      </c>
      <c r="G33" s="74">
        <f>VLOOKUP(завтрак1,таб,6,FALSE)</f>
        <v>0</v>
      </c>
      <c r="H33" s="28">
        <f>VLOOKUP(завтрак2,таб,6,FALSE)</f>
        <v>0</v>
      </c>
      <c r="I33" s="27">
        <f>VLOOKUP(завтрак3,таб,6,FALSE)</f>
        <v>0</v>
      </c>
      <c r="J33" s="28">
        <f>VLOOKUP(завтрак4,таб,6,FALSE)</f>
        <v>0</v>
      </c>
      <c r="K33" s="27">
        <f>VLOOKUP(завтрак5,таб,6,FALSE)</f>
        <v>0</v>
      </c>
      <c r="L33" s="106"/>
      <c r="M33" s="27">
        <f>VLOOKUP(завтрак7,таб,6,FALSE)</f>
        <v>0</v>
      </c>
      <c r="N33" s="84"/>
      <c r="O33" s="29">
        <f>VLOOKUP(обед1,таб,6,FALSE)</f>
        <v>0</v>
      </c>
      <c r="P33" s="27">
        <f>VLOOKUP(обед2,таб,6,FALSE)</f>
        <v>0</v>
      </c>
      <c r="Q33" s="28">
        <f>VLOOKUP(обед3,таб,6,FALSE)</f>
        <v>0</v>
      </c>
      <c r="R33" s="27"/>
      <c r="S33" s="28">
        <f>VLOOKUP(обед5,таб,6,FALSE)</f>
        <v>0</v>
      </c>
      <c r="T33" s="27">
        <f>VLOOKUP(обед6,таб,6,FALSE)</f>
        <v>0</v>
      </c>
      <c r="U33" s="28">
        <f>VLOOKUP(обед7,таб,6,FALSE)</f>
        <v>0</v>
      </c>
      <c r="V33" s="27">
        <f>VLOOKUP(обед8,таб,6,FALSE)</f>
        <v>0</v>
      </c>
      <c r="W33" s="27">
        <f>VLOOKUP(полдник1,таб,6,FALSE)</f>
        <v>0</v>
      </c>
      <c r="X33" s="27">
        <f>VLOOKUP(полдник2,таб,6,FALSE)</f>
        <v>0</v>
      </c>
      <c r="Y33" s="84">
        <f>VLOOKUP(полдник3,таб,6,FALSE)</f>
        <v>0</v>
      </c>
      <c r="Z33" s="29">
        <f>VLOOKUP(ужин1,таб,6,FALSE)</f>
        <v>0</v>
      </c>
      <c r="AA33" s="28">
        <f>VLOOKUP(ужин2,таб,6,FALSE)</f>
        <v>0</v>
      </c>
      <c r="AB33" s="27">
        <f>VLOOKUP(ужин3,таб,6,FALSE)</f>
        <v>0</v>
      </c>
      <c r="AC33" s="28">
        <f>VLOOKUP(ужин4,таб,6,FALSE)</f>
        <v>0</v>
      </c>
      <c r="AD33" s="27"/>
      <c r="AE33" s="28">
        <f>VLOOKUP(ужин6,таб,6,FALSE)</f>
        <v>0</v>
      </c>
      <c r="AF33" s="27">
        <f>VLOOKUP(ужин7,таб,6,FALSE)</f>
        <v>0</v>
      </c>
      <c r="AG33" s="84">
        <f>VLOOKUP(ужин8,таб,6,FALSE)</f>
        <v>0</v>
      </c>
      <c r="AH33" s="112">
        <v>610036</v>
      </c>
      <c r="AI33" s="122">
        <f>AK33/сред</f>
        <v>0</v>
      </c>
      <c r="AJ33" s="123"/>
      <c r="AK33" s="114">
        <f>SUM(G34:AG34)</f>
        <v>0</v>
      </c>
      <c r="AL33" s="114"/>
      <c r="AM33" s="175">
        <f>IF(AK33=0,0,AV117)</f>
        <v>0</v>
      </c>
      <c r="AN33" s="115">
        <f>AK33*AM33</f>
        <v>0</v>
      </c>
      <c r="AP33">
        <v>32</v>
      </c>
      <c r="AQ33" s="61" t="s">
        <v>152</v>
      </c>
      <c r="AR33" s="61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>
        <v>1.5</v>
      </c>
      <c r="BX33" s="60"/>
      <c r="BY33" s="60"/>
      <c r="BZ33" s="60"/>
      <c r="CA33" s="60"/>
      <c r="CB33" s="60"/>
      <c r="CC33" s="60"/>
      <c r="CD33" s="60"/>
      <c r="CE33" s="60"/>
      <c r="CF33" s="60"/>
      <c r="CG33" s="60">
        <v>68.7</v>
      </c>
      <c r="CH33" s="60"/>
      <c r="CI33" s="60">
        <v>12</v>
      </c>
      <c r="CJ33" s="60">
        <v>12.8</v>
      </c>
      <c r="CK33" s="60"/>
      <c r="CL33" s="60"/>
      <c r="CM33" s="60">
        <v>11.5</v>
      </c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>
        <v>250</v>
      </c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ht="34.5" customHeight="1">
      <c r="A34" s="128"/>
      <c r="B34" s="128"/>
      <c r="C34" s="128"/>
      <c r="D34" s="128"/>
      <c r="E34" s="129"/>
      <c r="F34" s="65" t="s">
        <v>94</v>
      </c>
      <c r="G34" s="75">
        <f aca="true" t="shared" si="14" ref="G34:M34">IF(G33=0,"",завтракл*G33/1000)</f>
      </c>
      <c r="H34" s="46">
        <f t="shared" si="14"/>
      </c>
      <c r="I34" s="45">
        <f t="shared" si="14"/>
      </c>
      <c r="J34" s="46">
        <f t="shared" si="14"/>
      </c>
      <c r="K34" s="45">
        <f t="shared" si="14"/>
      </c>
      <c r="L34" s="105"/>
      <c r="M34" s="45">
        <f t="shared" si="14"/>
      </c>
      <c r="N34" s="85"/>
      <c r="O34" s="47">
        <f aca="true" t="shared" si="15" ref="O34:T34">IF(O33=0,"",обідл*O33/1000)</f>
      </c>
      <c r="P34" s="45">
        <f t="shared" si="15"/>
      </c>
      <c r="Q34" s="46">
        <f t="shared" si="15"/>
      </c>
      <c r="R34" s="45"/>
      <c r="S34" s="46">
        <f t="shared" si="15"/>
      </c>
      <c r="T34" s="45">
        <f t="shared" si="15"/>
      </c>
      <c r="U34" s="46">
        <f>IF(U33=0,"",обідл*U33/1000)</f>
      </c>
      <c r="V34" s="45">
        <f>IF(V33=0,"",обідл*V33/1000)</f>
      </c>
      <c r="W34" s="45">
        <f>IF(W33=0,"",полдникл*W33/1000)</f>
      </c>
      <c r="X34" s="45">
        <f>IF(X33=0,"",полдникл*X33/1000)</f>
      </c>
      <c r="Y34" s="85">
        <f>IF(Y33=0,"",полдникл*Y33/1000)</f>
      </c>
      <c r="Z34" s="47">
        <f aca="true" t="shared" si="16" ref="Z34:AG34">IF(Z33=0,"",ужинл*Z33/1000)</f>
      </c>
      <c r="AA34" s="46">
        <f t="shared" si="16"/>
      </c>
      <c r="AB34" s="45">
        <f t="shared" si="16"/>
      </c>
      <c r="AC34" s="46">
        <f t="shared" si="16"/>
      </c>
      <c r="AD34" s="45"/>
      <c r="AE34" s="46">
        <f t="shared" si="16"/>
      </c>
      <c r="AF34" s="45">
        <f t="shared" si="16"/>
      </c>
      <c r="AG34" s="85">
        <f t="shared" si="16"/>
      </c>
      <c r="AH34" s="113"/>
      <c r="AI34" s="122"/>
      <c r="AJ34" s="123"/>
      <c r="AK34" s="114"/>
      <c r="AL34" s="114"/>
      <c r="AM34" s="176"/>
      <c r="AN34" s="116"/>
      <c r="AP34">
        <v>33</v>
      </c>
      <c r="AQ34" s="61" t="s">
        <v>345</v>
      </c>
      <c r="AR34" s="61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>
        <v>2.5</v>
      </c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>
        <v>68.7</v>
      </c>
      <c r="CH34" s="60">
        <v>25</v>
      </c>
      <c r="CI34" s="60">
        <v>12</v>
      </c>
      <c r="CJ34" s="60">
        <v>12.8</v>
      </c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>
        <v>250</v>
      </c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>
        <v>8.3</v>
      </c>
      <c r="DR34" s="60"/>
      <c r="DS34" s="60"/>
      <c r="DT34" s="60"/>
      <c r="DU34" s="60"/>
      <c r="DV34" s="60"/>
      <c r="DW34" s="60"/>
      <c r="DX34" s="60"/>
      <c r="DY34" s="60"/>
    </row>
    <row r="35" spans="1:129" ht="34.5" customHeight="1">
      <c r="A35" s="128" t="s">
        <v>124</v>
      </c>
      <c r="B35" s="128"/>
      <c r="C35" s="128"/>
      <c r="D35" s="128"/>
      <c r="E35" s="129"/>
      <c r="F35" s="68" t="s">
        <v>93</v>
      </c>
      <c r="G35" s="76">
        <f>VLOOKUP(завтрак1,таб,7,FALSE)</f>
        <v>0</v>
      </c>
      <c r="H35" s="28">
        <f>VLOOKUP(завтрак2,таб,7,FALSE)</f>
        <v>0</v>
      </c>
      <c r="I35" s="27">
        <f>VLOOKUP(завтрак3,таб,7,FALSE)</f>
        <v>0</v>
      </c>
      <c r="J35" s="28">
        <f>VLOOKUP(завтрак4,таб,7,FALSE)</f>
        <v>0</v>
      </c>
      <c r="K35" s="27">
        <f>VLOOKUP(завтрак5,таб,7,FALSE)</f>
        <v>0</v>
      </c>
      <c r="L35" s="106"/>
      <c r="M35" s="27">
        <f>VLOOKUP(завтрак7,таб,7,FALSE)</f>
        <v>0</v>
      </c>
      <c r="N35" s="84"/>
      <c r="O35" s="29">
        <f>VLOOKUP(обед1,таб,7,FALSE)</f>
        <v>0</v>
      </c>
      <c r="P35" s="27">
        <f>VLOOKUP(обед2,таб,7,FALSE)</f>
        <v>0</v>
      </c>
      <c r="Q35" s="28">
        <f>VLOOKUP(обед3,таб,7,FALSE)</f>
        <v>0</v>
      </c>
      <c r="R35" s="27"/>
      <c r="S35" s="28">
        <f>VLOOKUP(обед5,таб,7,FALSE)</f>
        <v>0</v>
      </c>
      <c r="T35" s="27">
        <f>VLOOKUP(обед6,таб,7,FALSE)</f>
        <v>0</v>
      </c>
      <c r="U35" s="28">
        <f>VLOOKUP(обед7,таб,7,FALSE)</f>
        <v>0</v>
      </c>
      <c r="V35" s="27">
        <f>VLOOKUP(обед8,таб,7,FALSE)</f>
        <v>0</v>
      </c>
      <c r="W35" s="27">
        <f>VLOOKUP(полдник1,таб,7,FALSE)</f>
        <v>0</v>
      </c>
      <c r="X35" s="27">
        <f>VLOOKUP(полдник2,таб,7,FALSE)</f>
        <v>0</v>
      </c>
      <c r="Y35" s="84">
        <f>VLOOKUP(полдник3,таб,7,FALSE)</f>
        <v>0</v>
      </c>
      <c r="Z35" s="29">
        <f>VLOOKUP(ужин1,таб,7,FALSE)</f>
        <v>0</v>
      </c>
      <c r="AA35" s="28">
        <f>VLOOKUP(ужин2,таб,7,FALSE)</f>
        <v>0</v>
      </c>
      <c r="AB35" s="27">
        <f>VLOOKUP(ужин3,таб,7,FALSE)</f>
        <v>0</v>
      </c>
      <c r="AC35" s="28">
        <f>VLOOKUP(ужин4,таб,7,FALSE)</f>
        <v>0</v>
      </c>
      <c r="AD35" s="27"/>
      <c r="AE35" s="28">
        <f>VLOOKUP(ужин6,таб,7,FALSE)</f>
        <v>0</v>
      </c>
      <c r="AF35" s="27">
        <f>VLOOKUP(ужин7,таб,7,FALSE)</f>
        <v>0</v>
      </c>
      <c r="AG35" s="84">
        <f>VLOOKUP(ужин8,таб,7,FALSE)</f>
        <v>0</v>
      </c>
      <c r="AH35" s="112">
        <v>610052</v>
      </c>
      <c r="AI35" s="122">
        <f>AK35/сред</f>
        <v>0</v>
      </c>
      <c r="AJ35" s="123"/>
      <c r="AK35" s="114">
        <f>SUM(G36:AG36)</f>
        <v>0</v>
      </c>
      <c r="AL35" s="114"/>
      <c r="AM35" s="175">
        <f>IF(AK35=0,0,AW117)</f>
        <v>0</v>
      </c>
      <c r="AN35" s="115">
        <f>AK35*AM35</f>
        <v>0</v>
      </c>
      <c r="AP35">
        <v>34</v>
      </c>
      <c r="AQ35" s="61" t="s">
        <v>346</v>
      </c>
      <c r="AR35" s="61"/>
      <c r="AS35" s="60"/>
      <c r="AT35" s="60"/>
      <c r="AU35" s="60"/>
      <c r="AV35" s="60"/>
      <c r="AW35" s="60"/>
      <c r="AX35" s="60">
        <v>44.5</v>
      </c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>
        <v>71.3</v>
      </c>
      <c r="CH35" s="60"/>
      <c r="CI35" s="60">
        <v>27.5</v>
      </c>
      <c r="CJ35" s="60">
        <v>10</v>
      </c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>
        <v>250</v>
      </c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ht="34.5" customHeight="1">
      <c r="A36" s="128"/>
      <c r="B36" s="128"/>
      <c r="C36" s="128"/>
      <c r="D36" s="128"/>
      <c r="E36" s="129"/>
      <c r="F36" s="65" t="s">
        <v>94</v>
      </c>
      <c r="G36" s="75">
        <f aca="true" t="shared" si="17" ref="G36:M36">IF(G35=0,"",завтракл*G35/1000)</f>
      </c>
      <c r="H36" s="46">
        <f t="shared" si="17"/>
      </c>
      <c r="I36" s="45">
        <f t="shared" si="17"/>
      </c>
      <c r="J36" s="46">
        <f t="shared" si="17"/>
      </c>
      <c r="K36" s="45">
        <f t="shared" si="17"/>
      </c>
      <c r="L36" s="105"/>
      <c r="M36" s="45">
        <f t="shared" si="17"/>
      </c>
      <c r="N36" s="85"/>
      <c r="O36" s="47">
        <f aca="true" t="shared" si="18" ref="O36:T36">IF(O35=0,"",обідл*O35/1000)</f>
      </c>
      <c r="P36" s="45">
        <f t="shared" si="18"/>
      </c>
      <c r="Q36" s="46">
        <f t="shared" si="18"/>
      </c>
      <c r="R36" s="45"/>
      <c r="S36" s="46">
        <f t="shared" si="18"/>
      </c>
      <c r="T36" s="45">
        <f t="shared" si="18"/>
      </c>
      <c r="U36" s="46">
        <f>IF(U35=0,"",обідл*U35/1000)</f>
      </c>
      <c r="V36" s="45">
        <f>IF(V35=0,"",обідл*V35/1000)</f>
      </c>
      <c r="W36" s="45">
        <f>IF(W35=0,"",полдникл*W35/1000)</f>
      </c>
      <c r="X36" s="45">
        <f>IF(X35=0,"",полдникл*X35/1000)</f>
      </c>
      <c r="Y36" s="85">
        <f>IF(Y35=0,"",полдникл*Y35/1000)</f>
      </c>
      <c r="Z36" s="49">
        <f aca="true" t="shared" si="19" ref="Z36:AG36">IF(Z35=0,"",ужинл*Z35/1000)</f>
      </c>
      <c r="AA36" s="46">
        <f t="shared" si="19"/>
      </c>
      <c r="AB36" s="45">
        <f t="shared" si="19"/>
      </c>
      <c r="AC36" s="46">
        <f t="shared" si="19"/>
      </c>
      <c r="AD36" s="45"/>
      <c r="AE36" s="46">
        <f t="shared" si="19"/>
      </c>
      <c r="AF36" s="45">
        <f t="shared" si="19"/>
      </c>
      <c r="AG36" s="85">
        <f t="shared" si="19"/>
      </c>
      <c r="AH36" s="113"/>
      <c r="AI36" s="122"/>
      <c r="AJ36" s="123"/>
      <c r="AK36" s="114"/>
      <c r="AL36" s="114"/>
      <c r="AM36" s="176"/>
      <c r="AN36" s="116"/>
      <c r="AP36">
        <v>35</v>
      </c>
      <c r="AQ36" s="61" t="s">
        <v>347</v>
      </c>
      <c r="AR36" s="61"/>
      <c r="AS36" s="60"/>
      <c r="AT36" s="60"/>
      <c r="AU36" s="60"/>
      <c r="AV36" s="60"/>
      <c r="AW36" s="60"/>
      <c r="AX36" s="60"/>
      <c r="AY36" s="60"/>
      <c r="AZ36" s="60">
        <v>0.5</v>
      </c>
      <c r="BA36" s="60"/>
      <c r="BB36" s="60"/>
      <c r="BC36" s="60"/>
      <c r="BD36" s="60">
        <v>28.5</v>
      </c>
      <c r="BE36" s="60"/>
      <c r="BF36" s="60"/>
      <c r="BG36" s="60"/>
      <c r="BH36" s="60"/>
      <c r="BI36" s="60"/>
      <c r="BJ36" s="60"/>
      <c r="BK36" s="60"/>
      <c r="BL36" s="60">
        <v>1.6</v>
      </c>
      <c r="BM36" s="60"/>
      <c r="BN36" s="60"/>
      <c r="BO36" s="60"/>
      <c r="BP36" s="60"/>
      <c r="BQ36" s="60"/>
      <c r="BR36" s="60"/>
      <c r="BS36" s="60"/>
      <c r="BT36" s="60"/>
      <c r="BU36" s="60"/>
      <c r="BV36" s="60">
        <v>5</v>
      </c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>
        <v>71.3</v>
      </c>
      <c r="CH36" s="60"/>
      <c r="CI36" s="60"/>
      <c r="CJ36" s="60">
        <v>133.5</v>
      </c>
      <c r="CK36" s="60"/>
      <c r="CL36" s="60"/>
      <c r="CM36" s="60"/>
      <c r="CN36" s="60"/>
      <c r="CO36" s="60"/>
      <c r="CP36" s="60">
        <v>0.8</v>
      </c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>
        <v>250</v>
      </c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ht="34.5" customHeight="1">
      <c r="A37" s="128" t="s">
        <v>10</v>
      </c>
      <c r="B37" s="128"/>
      <c r="C37" s="128"/>
      <c r="D37" s="128"/>
      <c r="E37" s="129"/>
      <c r="F37" s="68" t="s">
        <v>93</v>
      </c>
      <c r="G37" s="74">
        <f>VLOOKUP(завтрак1,таб,8,FALSE)</f>
        <v>0</v>
      </c>
      <c r="H37" s="28">
        <f>VLOOKUP(завтрак2,таб,8,FALSE)</f>
        <v>0</v>
      </c>
      <c r="I37" s="27">
        <f>VLOOKUP(завтрак3,таб,8,FALSE)</f>
        <v>0</v>
      </c>
      <c r="J37" s="28">
        <f>VLOOKUP(завтрак4,таб,8,FALSE)</f>
        <v>0</v>
      </c>
      <c r="K37" s="27">
        <f>VLOOKUP(завтрак5,таб,8,FALSE)</f>
        <v>0</v>
      </c>
      <c r="L37" s="106"/>
      <c r="M37" s="27">
        <f>VLOOKUP(завтрак7,таб,8,FALSE)</f>
        <v>0</v>
      </c>
      <c r="N37" s="84"/>
      <c r="O37" s="29">
        <f>VLOOKUP(обед1,таб,8,FALSE)</f>
        <v>0</v>
      </c>
      <c r="P37" s="27">
        <f>VLOOKUP(обед2,таб,8,FALSE)</f>
        <v>0</v>
      </c>
      <c r="Q37" s="28">
        <f>VLOOKUP(обед3,таб,8,FALSE)</f>
        <v>0</v>
      </c>
      <c r="R37" s="27"/>
      <c r="S37" s="28">
        <f>VLOOKUP(обед5,таб,8,FALSE)</f>
        <v>0</v>
      </c>
      <c r="T37" s="27">
        <f>VLOOKUP(обед6,таб,8,FALSE)</f>
        <v>0</v>
      </c>
      <c r="U37" s="28">
        <f>VLOOKUP(обед7,таб,8,FALSE)</f>
        <v>0</v>
      </c>
      <c r="V37" s="27">
        <f>VLOOKUP(обед8,таб,8,FALSE)</f>
        <v>0</v>
      </c>
      <c r="W37" s="27">
        <f>VLOOKUP(полдник1,таб,8,FALSE)</f>
        <v>0</v>
      </c>
      <c r="X37" s="27">
        <f>VLOOKUP(полдник2,таб,8,FALSE)</f>
        <v>0</v>
      </c>
      <c r="Y37" s="84">
        <f>VLOOKUP(полдник3,таб,8,FALSE)</f>
        <v>0</v>
      </c>
      <c r="Z37" s="29">
        <f>VLOOKUP(ужин1,таб,8,FALSE)</f>
        <v>0</v>
      </c>
      <c r="AA37" s="28">
        <f>VLOOKUP(ужин2,таб,8,FALSE)</f>
        <v>0</v>
      </c>
      <c r="AB37" s="27">
        <f>VLOOKUP(ужин3,таб,8,FALSE)</f>
        <v>0</v>
      </c>
      <c r="AC37" s="28">
        <f>VLOOKUP(ужин4,таб,8,FALSE)</f>
        <v>0</v>
      </c>
      <c r="AD37" s="27"/>
      <c r="AE37" s="28">
        <f>VLOOKUP(ужин6,таб,8,FALSE)</f>
        <v>0</v>
      </c>
      <c r="AF37" s="27">
        <f>VLOOKUP(ужин7,таб,8,FALSE)</f>
        <v>0</v>
      </c>
      <c r="AG37" s="84">
        <f>VLOOKUP(ужин8,таб,8,FALSE)</f>
        <v>0</v>
      </c>
      <c r="AH37" s="112">
        <v>611008</v>
      </c>
      <c r="AI37" s="122">
        <f>AK37/сред</f>
        <v>0</v>
      </c>
      <c r="AJ37" s="123"/>
      <c r="AK37" s="114">
        <f>SUM(G38:AG38)</f>
        <v>0</v>
      </c>
      <c r="AL37" s="114"/>
      <c r="AM37" s="175">
        <f>IF(AK37=0,0,AX117)</f>
        <v>0</v>
      </c>
      <c r="AN37" s="115">
        <f>AK37*AM37</f>
        <v>0</v>
      </c>
      <c r="AP37">
        <v>36</v>
      </c>
      <c r="AQ37" s="61" t="s">
        <v>348</v>
      </c>
      <c r="AR37" s="61"/>
      <c r="AS37" s="60"/>
      <c r="AT37" s="60"/>
      <c r="AU37" s="60"/>
      <c r="AV37" s="60"/>
      <c r="AW37" s="60"/>
      <c r="AX37" s="60"/>
      <c r="AY37" s="60"/>
      <c r="AZ37" s="60">
        <v>0.5</v>
      </c>
      <c r="BA37" s="60"/>
      <c r="BB37" s="60"/>
      <c r="BC37" s="60"/>
      <c r="BD37" s="60">
        <v>28.5</v>
      </c>
      <c r="BE37" s="60"/>
      <c r="BF37" s="60"/>
      <c r="BG37" s="60"/>
      <c r="BH37" s="60"/>
      <c r="BI37" s="60"/>
      <c r="BJ37" s="60"/>
      <c r="BK37" s="60"/>
      <c r="BL37" s="60">
        <v>1.6</v>
      </c>
      <c r="BM37" s="60"/>
      <c r="BN37" s="60"/>
      <c r="BO37" s="60"/>
      <c r="BP37" s="60"/>
      <c r="BQ37" s="60"/>
      <c r="BR37" s="60"/>
      <c r="BS37" s="60"/>
      <c r="BT37" s="60"/>
      <c r="BU37" s="60"/>
      <c r="BV37" s="60">
        <v>5</v>
      </c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>
        <v>143</v>
      </c>
      <c r="CH37" s="60"/>
      <c r="CI37" s="60">
        <v>31.3</v>
      </c>
      <c r="CJ37" s="60">
        <v>45</v>
      </c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>
        <v>250</v>
      </c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45" ht="34.5" customHeight="1">
      <c r="A38" s="128"/>
      <c r="B38" s="128"/>
      <c r="C38" s="128"/>
      <c r="D38" s="128"/>
      <c r="E38" s="129"/>
      <c r="F38" s="65" t="s">
        <v>94</v>
      </c>
      <c r="G38" s="75">
        <f aca="true" t="shared" si="20" ref="G38:M38">IF(G37=0,"",завтракл*G37/1000)</f>
      </c>
      <c r="H38" s="46">
        <f t="shared" si="20"/>
      </c>
      <c r="I38" s="45">
        <f t="shared" si="20"/>
      </c>
      <c r="J38" s="46">
        <f t="shared" si="20"/>
      </c>
      <c r="K38" s="45">
        <f t="shared" si="20"/>
      </c>
      <c r="L38" s="105"/>
      <c r="M38" s="45">
        <f t="shared" si="20"/>
      </c>
      <c r="N38" s="85"/>
      <c r="O38" s="47">
        <f aca="true" t="shared" si="21" ref="O38:T38">IF(O37=0,"",обідл*O37/1000)</f>
      </c>
      <c r="P38" s="45">
        <f t="shared" si="21"/>
      </c>
      <c r="Q38" s="46">
        <f t="shared" si="21"/>
      </c>
      <c r="R38" s="45"/>
      <c r="S38" s="46">
        <f t="shared" si="21"/>
      </c>
      <c r="T38" s="45">
        <f t="shared" si="21"/>
      </c>
      <c r="U38" s="46">
        <f>IF(U37=0,"",обідл*U37/1000)</f>
      </c>
      <c r="V38" s="45">
        <f>IF(V37=0,"",обідл*V37/1000)</f>
      </c>
      <c r="W38" s="45">
        <f>IF(W37=0,"",полдникл*W37/1000)</f>
      </c>
      <c r="X38" s="45">
        <f>IF(X37=0,"",полдникл*X37/1000)</f>
      </c>
      <c r="Y38" s="85">
        <f>IF(Y37=0,"",полдникл*Y37/1000)</f>
      </c>
      <c r="Z38" s="47">
        <f aca="true" t="shared" si="22" ref="Z38:AG38">IF(Z37=0,"",ужинл*Z37/1000)</f>
      </c>
      <c r="AA38" s="46">
        <f t="shared" si="22"/>
      </c>
      <c r="AB38" s="45">
        <f t="shared" si="22"/>
      </c>
      <c r="AC38" s="46">
        <f t="shared" si="22"/>
      </c>
      <c r="AD38" s="45"/>
      <c r="AE38" s="46">
        <f t="shared" si="22"/>
      </c>
      <c r="AF38" s="45">
        <f t="shared" si="22"/>
      </c>
      <c r="AG38" s="85">
        <f t="shared" si="22"/>
      </c>
      <c r="AH38" s="113"/>
      <c r="AI38" s="122"/>
      <c r="AJ38" s="123"/>
      <c r="AK38" s="114"/>
      <c r="AL38" s="114"/>
      <c r="AM38" s="176"/>
      <c r="AN38" s="116"/>
      <c r="AP38">
        <v>37</v>
      </c>
      <c r="AQ38" s="60" t="s">
        <v>349</v>
      </c>
      <c r="AR38" s="60"/>
      <c r="AZ38">
        <v>5</v>
      </c>
      <c r="BR38">
        <v>10</v>
      </c>
      <c r="CG38">
        <v>125</v>
      </c>
      <c r="CI38">
        <v>12</v>
      </c>
      <c r="CM38">
        <v>7.5</v>
      </c>
      <c r="DE38" s="60">
        <v>250</v>
      </c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EO38">
        <v>0.8</v>
      </c>
    </row>
    <row r="39" spans="1:154" ht="34.5" customHeight="1">
      <c r="A39" s="128" t="s">
        <v>453</v>
      </c>
      <c r="B39" s="128"/>
      <c r="C39" s="128"/>
      <c r="D39" s="128"/>
      <c r="E39" s="129"/>
      <c r="F39" s="68" t="s">
        <v>93</v>
      </c>
      <c r="G39" s="74">
        <f>VLOOKUP(завтрак1,таб,9,FALSE)</f>
        <v>0</v>
      </c>
      <c r="H39" s="28">
        <f>VLOOKUP(завтрак2,таб,9,FALSE)</f>
        <v>0</v>
      </c>
      <c r="I39" s="27">
        <f>VLOOKUP(завтрак3,таб,9,FALSE)</f>
        <v>0</v>
      </c>
      <c r="J39" s="28">
        <f>VLOOKUP(завтрак4,таб,9,FALSE)</f>
        <v>0</v>
      </c>
      <c r="K39" s="27">
        <f>VLOOKUP(завтрак5,таб,9,FALSE)</f>
        <v>0</v>
      </c>
      <c r="L39" s="106"/>
      <c r="M39" s="27">
        <f>VLOOKUP(завтрак7,таб,9,FALSE)</f>
        <v>0</v>
      </c>
      <c r="N39" s="84"/>
      <c r="O39" s="29">
        <f>VLOOKUP(обед1,таб,9,FALSE)</f>
        <v>0</v>
      </c>
      <c r="P39" s="27">
        <f>VLOOKUP(обед2,таб,9,FALSE)</f>
        <v>0</v>
      </c>
      <c r="Q39" s="28">
        <f>VLOOKUP(обед3,таб,9,FALSE)</f>
        <v>0</v>
      </c>
      <c r="R39" s="27"/>
      <c r="S39" s="28">
        <f>VLOOKUP(обед5,таб,9,FALSE)</f>
        <v>0</v>
      </c>
      <c r="T39" s="27">
        <f>VLOOKUP(обед6,таб,9,FALSE)</f>
        <v>0</v>
      </c>
      <c r="U39" s="28">
        <f>VLOOKUP(обед7,таб,9,FALSE)</f>
        <v>0</v>
      </c>
      <c r="V39" s="27">
        <f>VLOOKUP(обед8,таб,9,FALSE)</f>
        <v>0</v>
      </c>
      <c r="W39" s="27">
        <f>VLOOKUP(полдник1,таб,9,FALSE)</f>
        <v>0</v>
      </c>
      <c r="X39" s="27">
        <f>VLOOKUP(полдник2,таб,9,FALSE)</f>
        <v>0</v>
      </c>
      <c r="Y39" s="84">
        <f>VLOOKUP(полдник3,таб,9,FALSE)</f>
        <v>0</v>
      </c>
      <c r="Z39" s="29">
        <f>VLOOKUP(ужин1,таб,9,FALSE)</f>
        <v>0</v>
      </c>
      <c r="AA39" s="28">
        <f>VLOOKUP(ужин2,таб,9,FALSE)</f>
        <v>0</v>
      </c>
      <c r="AB39" s="27">
        <f>VLOOKUP(ужин3,таб,9,FALSE)</f>
        <v>0</v>
      </c>
      <c r="AC39" s="28">
        <f>VLOOKUP(ужин4,таб,9,FALSE)</f>
        <v>0</v>
      </c>
      <c r="AD39" s="27"/>
      <c r="AE39" s="28">
        <f>VLOOKUP(ужин6,таб,9,FALSE)</f>
        <v>0</v>
      </c>
      <c r="AF39" s="27">
        <f>VLOOKUP(ужин7,таб,9,FALSE)</f>
        <v>0</v>
      </c>
      <c r="AG39" s="84">
        <f>VLOOKUP(ужин8,таб,9,FALSE)</f>
        <v>0</v>
      </c>
      <c r="AH39" s="112">
        <v>611017</v>
      </c>
      <c r="AI39" s="122">
        <f>AK39/сред</f>
        <v>0</v>
      </c>
      <c r="AJ39" s="123"/>
      <c r="AK39" s="114">
        <f>SUM(G40:AG40)</f>
        <v>0</v>
      </c>
      <c r="AL39" s="114"/>
      <c r="AM39" s="175">
        <f>IF(AK39=0,0,AY117)</f>
        <v>0</v>
      </c>
      <c r="AN39" s="115">
        <f>AK39*AM39</f>
        <v>0</v>
      </c>
      <c r="AP39">
        <v>38</v>
      </c>
      <c r="AQ39" s="61" t="s">
        <v>350</v>
      </c>
      <c r="AR39" s="61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>
        <v>5</v>
      </c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>
        <v>3</v>
      </c>
      <c r="BX39" s="60"/>
      <c r="BY39" s="60"/>
      <c r="BZ39" s="60"/>
      <c r="CA39" s="60"/>
      <c r="CB39" s="60"/>
      <c r="CC39" s="60"/>
      <c r="CD39" s="60"/>
      <c r="CE39" s="60"/>
      <c r="CF39" s="60"/>
      <c r="CG39" s="60">
        <v>66.5</v>
      </c>
      <c r="CH39" s="60"/>
      <c r="CI39" s="60">
        <v>12</v>
      </c>
      <c r="CJ39" s="60">
        <v>12.8</v>
      </c>
      <c r="CK39" s="60"/>
      <c r="CL39" s="60"/>
      <c r="CM39" s="60">
        <v>11.5</v>
      </c>
      <c r="CN39" s="60"/>
      <c r="CO39" s="60">
        <v>51</v>
      </c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>
        <v>250</v>
      </c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EW39">
        <v>22.5</v>
      </c>
      <c r="EX39">
        <v>0.5</v>
      </c>
    </row>
    <row r="40" spans="1:129" ht="34.5" customHeight="1">
      <c r="A40" s="128"/>
      <c r="B40" s="128"/>
      <c r="C40" s="128"/>
      <c r="D40" s="128"/>
      <c r="E40" s="129"/>
      <c r="F40" s="65" t="s">
        <v>94</v>
      </c>
      <c r="G40" s="75">
        <f aca="true" t="shared" si="23" ref="G40:M40">IF(G39=0,"",завтракл*G39/1000)</f>
      </c>
      <c r="H40" s="46">
        <f t="shared" si="23"/>
      </c>
      <c r="I40" s="45">
        <f t="shared" si="23"/>
      </c>
      <c r="J40" s="46">
        <f t="shared" si="23"/>
      </c>
      <c r="K40" s="45">
        <f t="shared" si="23"/>
      </c>
      <c r="L40" s="105"/>
      <c r="M40" s="45">
        <f t="shared" si="23"/>
      </c>
      <c r="N40" s="85"/>
      <c r="O40" s="47">
        <f aca="true" t="shared" si="24" ref="O40:T40">IF(O39=0,"",обідл*O39/1000)</f>
      </c>
      <c r="P40" s="45">
        <f t="shared" si="24"/>
      </c>
      <c r="Q40" s="46">
        <f t="shared" si="24"/>
      </c>
      <c r="R40" s="45"/>
      <c r="S40" s="46">
        <f t="shared" si="24"/>
      </c>
      <c r="T40" s="45">
        <f t="shared" si="24"/>
      </c>
      <c r="U40" s="46">
        <f>IF(U39=0,"",обідл*U39/1000)</f>
      </c>
      <c r="V40" s="45">
        <f>IF(V39=0,"",обідл*V39/1000)</f>
      </c>
      <c r="W40" s="45">
        <f>IF(W39=0,"",полдникл*W39/1000)</f>
      </c>
      <c r="X40" s="45">
        <f>IF(X39=0,"",полдникл*X39/1000)</f>
      </c>
      <c r="Y40" s="85">
        <f>IF(Y39=0,"",полдникл*Y39/1000)</f>
      </c>
      <c r="Z40" s="47">
        <f aca="true" t="shared" si="25" ref="Z40:AG40">IF(Z39=0,"",ужинл*Z39/1000)</f>
      </c>
      <c r="AA40" s="46">
        <f t="shared" si="25"/>
      </c>
      <c r="AB40" s="45">
        <f t="shared" si="25"/>
      </c>
      <c r="AC40" s="46">
        <f t="shared" si="25"/>
      </c>
      <c r="AD40" s="45"/>
      <c r="AE40" s="46">
        <f t="shared" si="25"/>
      </c>
      <c r="AF40" s="45">
        <f t="shared" si="25"/>
      </c>
      <c r="AG40" s="85">
        <f t="shared" si="25"/>
      </c>
      <c r="AH40" s="113"/>
      <c r="AI40" s="122"/>
      <c r="AJ40" s="123"/>
      <c r="AK40" s="114"/>
      <c r="AL40" s="114"/>
      <c r="AM40" s="176"/>
      <c r="AN40" s="116"/>
      <c r="AP40">
        <v>39</v>
      </c>
      <c r="AQ40" s="61" t="s">
        <v>351</v>
      </c>
      <c r="AR40" s="61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>
        <v>0.1</v>
      </c>
      <c r="BK40" s="60"/>
      <c r="BL40" s="60">
        <v>10</v>
      </c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>
        <v>100</v>
      </c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>
        <v>53.4</v>
      </c>
      <c r="DR40" s="60"/>
      <c r="DS40" s="60"/>
      <c r="DT40" s="60"/>
      <c r="DU40" s="60"/>
      <c r="DV40" s="60"/>
      <c r="DW40" s="60"/>
      <c r="DX40" s="60"/>
      <c r="DY40" s="60"/>
    </row>
    <row r="41" spans="1:129" ht="34.5" customHeight="1">
      <c r="A41" s="128" t="s">
        <v>11</v>
      </c>
      <c r="B41" s="128"/>
      <c r="C41" s="128"/>
      <c r="D41" s="128"/>
      <c r="E41" s="129"/>
      <c r="F41" s="68" t="s">
        <v>93</v>
      </c>
      <c r="G41" s="74">
        <f>VLOOKUP(завтрак1,таб,10,FALSE)</f>
        <v>0</v>
      </c>
      <c r="H41" s="28">
        <f>VLOOKUP(завтрак2,таб,10,FALSE)</f>
        <v>0</v>
      </c>
      <c r="I41" s="27">
        <f>VLOOKUP(завтрак3,таб,10,FALSE)</f>
        <v>0</v>
      </c>
      <c r="J41" s="28">
        <f>VLOOKUP(завтрак4,таб,10,FALSE)</f>
        <v>0</v>
      </c>
      <c r="K41" s="27">
        <f>VLOOKUP(завтрак5,таб,10,FALSE)</f>
        <v>0</v>
      </c>
      <c r="L41" s="106"/>
      <c r="M41" s="27">
        <f>VLOOKUP(завтрак7,таб,10,FALSE)</f>
        <v>0</v>
      </c>
      <c r="N41" s="84"/>
      <c r="O41" s="29">
        <f>VLOOKUP(обед1,таб,10,FALSE)</f>
        <v>0</v>
      </c>
      <c r="P41" s="27">
        <f>VLOOKUP(обед2,таб,10,FALSE)</f>
        <v>5</v>
      </c>
      <c r="Q41" s="28">
        <f>VLOOKUP(обед3,таб,10,FALSE)</f>
        <v>3</v>
      </c>
      <c r="R41" s="27"/>
      <c r="S41" s="28">
        <f>VLOOKUP(обед5,таб,10,FALSE)</f>
        <v>0</v>
      </c>
      <c r="T41" s="27">
        <f>VLOOKUP(обед6,таб,10,FALSE)</f>
        <v>0</v>
      </c>
      <c r="U41" s="28">
        <f>VLOOKUP(обед7,таб,10,FALSE)</f>
        <v>0</v>
      </c>
      <c r="V41" s="27">
        <f>VLOOKUP(обед8,таб,10,FALSE)</f>
        <v>0</v>
      </c>
      <c r="W41" s="27">
        <f>VLOOKUP(полдник1,таб,10,FALSE)</f>
        <v>0</v>
      </c>
      <c r="X41" s="27">
        <f>VLOOKUP(полдник2,таб,10,FALSE)</f>
        <v>0</v>
      </c>
      <c r="Y41" s="84">
        <f>VLOOKUP(полдник3,таб,10,FALSE)</f>
        <v>0</v>
      </c>
      <c r="Z41" s="29">
        <f>VLOOKUP(ужин1,таб,10,FALSE)</f>
        <v>0</v>
      </c>
      <c r="AA41" s="28">
        <f>VLOOKUP(ужин2,таб,10,FALSE)</f>
        <v>0</v>
      </c>
      <c r="AB41" s="27">
        <f>VLOOKUP(ужин3,таб,10,FALSE)</f>
        <v>3</v>
      </c>
      <c r="AC41" s="28"/>
      <c r="AD41" s="27"/>
      <c r="AE41" s="28">
        <f>VLOOKUP(ужин6,таб,10,FALSE)</f>
        <v>0</v>
      </c>
      <c r="AF41" s="27">
        <f>VLOOKUP(ужин7,таб,10,FALSE)</f>
        <v>0</v>
      </c>
      <c r="AG41" s="84">
        <f>VLOOKUP(ужин8,таб,10,FALSE)</f>
        <v>0</v>
      </c>
      <c r="AH41" s="112">
        <v>612001</v>
      </c>
      <c r="AI41" s="122">
        <f>AK41/сред</f>
        <v>0.011099999999999999</v>
      </c>
      <c r="AJ41" s="123"/>
      <c r="AK41" s="114">
        <f>SUM(G42:AG42)</f>
        <v>0.22199999999999998</v>
      </c>
      <c r="AL41" s="114"/>
      <c r="AM41" s="175">
        <v>166.66</v>
      </c>
      <c r="AN41" s="115">
        <f>AK41*AM41</f>
        <v>36.99851999999999</v>
      </c>
      <c r="AP41">
        <v>40</v>
      </c>
      <c r="AQ41" s="60" t="s">
        <v>352</v>
      </c>
      <c r="AR41" s="60"/>
      <c r="AZ41">
        <v>3</v>
      </c>
      <c r="BD41">
        <v>46.5</v>
      </c>
      <c r="BT41">
        <v>35.6</v>
      </c>
      <c r="DE41" s="60">
        <v>150</v>
      </c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ht="34.5" customHeight="1">
      <c r="A42" s="128"/>
      <c r="B42" s="128"/>
      <c r="C42" s="128"/>
      <c r="D42" s="128"/>
      <c r="E42" s="129"/>
      <c r="F42" s="65" t="s">
        <v>94</v>
      </c>
      <c r="G42" s="75">
        <f aca="true" t="shared" si="26" ref="G42:M42">IF(G41=0,"",завтракл*G41/1000)</f>
      </c>
      <c r="H42" s="46">
        <f t="shared" si="26"/>
      </c>
      <c r="I42" s="45">
        <f t="shared" si="26"/>
      </c>
      <c r="J42" s="46">
        <f t="shared" si="26"/>
      </c>
      <c r="K42" s="45">
        <f t="shared" si="26"/>
      </c>
      <c r="L42" s="105"/>
      <c r="M42" s="45">
        <f t="shared" si="26"/>
      </c>
      <c r="N42" s="85"/>
      <c r="O42" s="47">
        <f aca="true" t="shared" si="27" ref="O42:T42">IF(O41=0,"",обідл*O41/1000)</f>
      </c>
      <c r="P42" s="45">
        <f t="shared" si="27"/>
        <v>0.105</v>
      </c>
      <c r="Q42" s="46">
        <f t="shared" si="27"/>
        <v>0.063</v>
      </c>
      <c r="R42" s="45"/>
      <c r="S42" s="46">
        <f t="shared" si="27"/>
      </c>
      <c r="T42" s="45">
        <f t="shared" si="27"/>
      </c>
      <c r="U42" s="46">
        <f>IF(U41=0,"",обідл*U41/1000)</f>
      </c>
      <c r="V42" s="45">
        <f>IF(V41=0,"",обідл*V41/1000)</f>
      </c>
      <c r="W42" s="45">
        <f>IF(W41=0,"",полдникл*W41/1000)</f>
      </c>
      <c r="X42" s="45">
        <f>IF(X41=0,"",полдникл*X41/1000)</f>
      </c>
      <c r="Y42" s="85">
        <f>IF(Y41=0,"",полдникл*Y41/1000)</f>
      </c>
      <c r="Z42" s="47">
        <f aca="true" t="shared" si="28" ref="Z42:AG42">IF(Z41=0,"",ужинл*Z41/1000)</f>
      </c>
      <c r="AA42" s="46">
        <f t="shared" si="28"/>
      </c>
      <c r="AB42" s="45">
        <f t="shared" si="28"/>
        <v>0.054</v>
      </c>
      <c r="AC42" s="46">
        <f t="shared" si="28"/>
      </c>
      <c r="AD42" s="45"/>
      <c r="AE42" s="46">
        <f t="shared" si="28"/>
      </c>
      <c r="AF42" s="45">
        <f t="shared" si="28"/>
      </c>
      <c r="AG42" s="85">
        <f t="shared" si="28"/>
      </c>
      <c r="AH42" s="113"/>
      <c r="AI42" s="122"/>
      <c r="AJ42" s="123"/>
      <c r="AK42" s="114"/>
      <c r="AL42" s="114"/>
      <c r="AM42" s="176"/>
      <c r="AN42" s="116"/>
      <c r="AP42">
        <v>41</v>
      </c>
      <c r="AQ42" s="61" t="s">
        <v>353</v>
      </c>
      <c r="AR42" s="60"/>
      <c r="AS42" s="60"/>
      <c r="AT42" s="60"/>
      <c r="AU42" s="60"/>
      <c r="AV42" s="60"/>
      <c r="AW42" s="60"/>
      <c r="AX42" s="60"/>
      <c r="AY42" s="60"/>
      <c r="AZ42" s="60">
        <v>4</v>
      </c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>
        <v>133.3</v>
      </c>
      <c r="CH42" s="60"/>
      <c r="CI42" s="60"/>
      <c r="CJ42" s="60">
        <v>121.9</v>
      </c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>
        <v>200</v>
      </c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ht="34.5" customHeight="1">
      <c r="A43" s="128" t="s">
        <v>454</v>
      </c>
      <c r="B43" s="128"/>
      <c r="C43" s="128"/>
      <c r="D43" s="128"/>
      <c r="E43" s="129"/>
      <c r="F43" s="68" t="s">
        <v>93</v>
      </c>
      <c r="G43" s="74">
        <f>VLOOKUP(завтрак1,таб,11,FALSE)</f>
        <v>0</v>
      </c>
      <c r="H43" s="28">
        <f>VLOOKUP(завтрак2,таб,11,FALSE)</f>
        <v>0</v>
      </c>
      <c r="I43" s="27">
        <f>VLOOKUP(завтрак3,таб,11,FALSE)</f>
        <v>0</v>
      </c>
      <c r="J43" s="28">
        <f>VLOOKUP(завтрак4,таб,11,FALSE)</f>
        <v>0</v>
      </c>
      <c r="K43" s="27">
        <f>VLOOKUP(завтрак5,таб,11,FALSE)</f>
        <v>0</v>
      </c>
      <c r="L43" s="106"/>
      <c r="M43" s="27">
        <f>VLOOKUP(завтрак7,таб,11,FALSE)</f>
        <v>0</v>
      </c>
      <c r="N43" s="84"/>
      <c r="O43" s="29">
        <f>VLOOKUP(обед1,таб,11,FALSE)</f>
        <v>0</v>
      </c>
      <c r="P43" s="27">
        <f>VLOOKUP(обед2,таб,11,FALSE)</f>
        <v>0</v>
      </c>
      <c r="Q43" s="28">
        <f>VLOOKUP(обед3,таб,11,FALSE)</f>
        <v>0</v>
      </c>
      <c r="R43" s="27"/>
      <c r="S43" s="28">
        <f>VLOOKUP(обед5,таб,11,FALSE)</f>
        <v>0</v>
      </c>
      <c r="T43" s="27">
        <f>VLOOKUP(обед6,таб,11,FALSE)</f>
        <v>0</v>
      </c>
      <c r="U43" s="28">
        <f>VLOOKUP(обед7,таб,11,FALSE)</f>
        <v>0</v>
      </c>
      <c r="V43" s="27">
        <f>VLOOKUP(обед8,таб,11,FALSE)</f>
        <v>0</v>
      </c>
      <c r="W43" s="27">
        <f>VLOOKUP(полдник1,таб,11,FALSE)</f>
        <v>0</v>
      </c>
      <c r="X43" s="27">
        <f>VLOOKUP(полдник2,таб,11,FALSE)</f>
        <v>0</v>
      </c>
      <c r="Y43" s="84">
        <f>VLOOKUP(полдник3,таб,11,FALSE)</f>
        <v>0</v>
      </c>
      <c r="Z43" s="29">
        <f>VLOOKUP(ужин1,таб,11,FALSE)</f>
        <v>0</v>
      </c>
      <c r="AA43" s="28">
        <f>VLOOKUP(ужин2,таб,11,FALSE)</f>
        <v>0</v>
      </c>
      <c r="AB43" s="27">
        <f>VLOOKUP(ужин3,таб,11,FALSE)</f>
        <v>0</v>
      </c>
      <c r="AC43" s="28">
        <f>VLOOKUP(ужин4,таб,11,FALSE)</f>
        <v>0</v>
      </c>
      <c r="AD43" s="27"/>
      <c r="AE43" s="28">
        <f>VLOOKUP(ужин6,таб,11,FALSE)</f>
        <v>0</v>
      </c>
      <c r="AF43" s="27">
        <f>VLOOKUP(ужин7,таб,11,FALSE)</f>
        <v>0</v>
      </c>
      <c r="AG43" s="84">
        <f>VLOOKUP(ужин8,таб,11,FALSE)</f>
        <v>0</v>
      </c>
      <c r="AH43" s="112">
        <v>612002</v>
      </c>
      <c r="AI43" s="122">
        <f>AK43/сред</f>
        <v>0</v>
      </c>
      <c r="AJ43" s="123"/>
      <c r="AK43" s="114">
        <f>SUM(G44:AG44)</f>
        <v>0</v>
      </c>
      <c r="AL43" s="114"/>
      <c r="AM43" s="175">
        <f>IF(AK43=0,0,BA117)</f>
        <v>0</v>
      </c>
      <c r="AN43" s="115">
        <f>AK43*AM43</f>
        <v>0</v>
      </c>
      <c r="AP43">
        <v>42</v>
      </c>
      <c r="AQ43" s="61" t="s">
        <v>354</v>
      </c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>
        <v>0.2</v>
      </c>
      <c r="BK43" s="60"/>
      <c r="BL43" s="60">
        <v>61.2</v>
      </c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>
        <v>154.6</v>
      </c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>
        <v>200</v>
      </c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ht="34.5" customHeight="1">
      <c r="A44" s="128"/>
      <c r="B44" s="128"/>
      <c r="C44" s="128"/>
      <c r="D44" s="128"/>
      <c r="E44" s="129"/>
      <c r="F44" s="65" t="s">
        <v>94</v>
      </c>
      <c r="G44" s="75">
        <f aca="true" t="shared" si="29" ref="G44:M44">IF(G43=0,"",завтракл*G43/1000)</f>
      </c>
      <c r="H44" s="46">
        <f t="shared" si="29"/>
      </c>
      <c r="I44" s="45">
        <f t="shared" si="29"/>
      </c>
      <c r="J44" s="46">
        <f t="shared" si="29"/>
      </c>
      <c r="K44" s="45">
        <f t="shared" si="29"/>
      </c>
      <c r="L44" s="105"/>
      <c r="M44" s="45">
        <f t="shared" si="29"/>
      </c>
      <c r="N44" s="85"/>
      <c r="O44" s="47">
        <f aca="true" t="shared" si="30" ref="O44:T44">IF(O43=0,"",обідл*O43/1000)</f>
      </c>
      <c r="P44" s="45">
        <f t="shared" si="30"/>
      </c>
      <c r="Q44" s="46">
        <f t="shared" si="30"/>
      </c>
      <c r="R44" s="45"/>
      <c r="S44" s="46">
        <f t="shared" si="30"/>
      </c>
      <c r="T44" s="45">
        <f t="shared" si="30"/>
      </c>
      <c r="U44" s="46">
        <f>IF(U43=0,"",обідл*U43/1000)</f>
      </c>
      <c r="V44" s="45">
        <f>IF(V43=0,"",обідл*V43/1000)</f>
      </c>
      <c r="W44" s="45">
        <f>IF(W43=0,"",полдникл*W43/1000)</f>
      </c>
      <c r="X44" s="45">
        <f>IF(X43=0,"",полдникл*X43/1000)</f>
      </c>
      <c r="Y44" s="85">
        <f>IF(Y43=0,"",полдникл*Y43/1000)</f>
      </c>
      <c r="Z44" s="47">
        <f aca="true" t="shared" si="31" ref="Z44:AG44">IF(Z43=0,"",ужинл*Z43/1000)</f>
      </c>
      <c r="AA44" s="46">
        <f t="shared" si="31"/>
      </c>
      <c r="AB44" s="45">
        <f t="shared" si="31"/>
      </c>
      <c r="AC44" s="46">
        <f t="shared" si="31"/>
      </c>
      <c r="AD44" s="45"/>
      <c r="AE44" s="46">
        <f t="shared" si="31"/>
      </c>
      <c r="AF44" s="45">
        <f t="shared" si="31"/>
      </c>
      <c r="AG44" s="85">
        <f t="shared" si="31"/>
      </c>
      <c r="AH44" s="113"/>
      <c r="AI44" s="122"/>
      <c r="AJ44" s="123"/>
      <c r="AK44" s="114"/>
      <c r="AL44" s="114"/>
      <c r="AM44" s="176"/>
      <c r="AN44" s="116"/>
      <c r="AP44">
        <v>43</v>
      </c>
      <c r="AQ44" s="61" t="s">
        <v>355</v>
      </c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>
        <v>263.9</v>
      </c>
      <c r="CH44" s="60"/>
      <c r="CI44" s="60"/>
      <c r="CJ44" s="60"/>
      <c r="CK44" s="60"/>
      <c r="CL44" s="60"/>
      <c r="CM44" s="60"/>
      <c r="CN44" s="60"/>
      <c r="CO44" s="60">
        <v>92.5</v>
      </c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>
        <v>200</v>
      </c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ht="34.5" customHeight="1">
      <c r="A45" s="128" t="s">
        <v>4</v>
      </c>
      <c r="B45" s="128"/>
      <c r="C45" s="128"/>
      <c r="D45" s="128"/>
      <c r="E45" s="129"/>
      <c r="F45" s="68" t="s">
        <v>93</v>
      </c>
      <c r="G45" s="74">
        <f>VLOOKUP(завтрак1,таб,12,FALSE)</f>
        <v>0</v>
      </c>
      <c r="H45" s="28">
        <f>VLOOKUP(завтрак2,таб,12,FALSE)</f>
        <v>0</v>
      </c>
      <c r="I45" s="27">
        <f>VLOOKUP(завтрак3,таб,12,FALSE)</f>
        <v>0</v>
      </c>
      <c r="J45" s="28">
        <f>VLOOKUP(завтрак4,таб,12,FALSE)</f>
        <v>0</v>
      </c>
      <c r="K45" s="27">
        <f>VLOOKUP(завтрак5,таб,12,FALSE)</f>
        <v>0</v>
      </c>
      <c r="L45" s="106"/>
      <c r="M45" s="27">
        <f>VLOOKUP(завтрак7,таб,12,FALSE)</f>
        <v>0</v>
      </c>
      <c r="N45" s="84"/>
      <c r="O45" s="29">
        <f>VLOOKUP(обед1,таб,12,FALSE)</f>
        <v>0</v>
      </c>
      <c r="P45" s="27">
        <f>VLOOKUP(обед2,таб,12,FALSE)</f>
        <v>0</v>
      </c>
      <c r="Q45" s="28">
        <f>VLOOKUP(обед3,таб,12,FALSE)</f>
        <v>0</v>
      </c>
      <c r="R45" s="27"/>
      <c r="S45" s="28">
        <f>VLOOKUP(обед5,таб,12,FALSE)</f>
        <v>0</v>
      </c>
      <c r="T45" s="27">
        <f>VLOOKUP(обед6,таб,12,FALSE)</f>
        <v>0</v>
      </c>
      <c r="U45" s="28">
        <f>VLOOKUP(обед7,таб,12,FALSE)</f>
        <v>0</v>
      </c>
      <c r="V45" s="27">
        <f>VLOOKUP(обед8,таб,12,FALSE)</f>
        <v>0</v>
      </c>
      <c r="W45" s="27">
        <f>VLOOKUP(полдник1,таб,12,FALSE)</f>
        <v>0</v>
      </c>
      <c r="X45" s="27">
        <f>VLOOKUP(полдник2,таб,12,FALSE)</f>
        <v>0</v>
      </c>
      <c r="Y45" s="84">
        <f>VLOOKUP(полдник3,таб,12,FALSE)</f>
        <v>0</v>
      </c>
      <c r="Z45" s="29">
        <f>VLOOKUP(ужин1,таб,12,FALSE)</f>
        <v>0</v>
      </c>
      <c r="AA45" s="28">
        <f>VLOOKUP(ужин2,таб,12,FALSE)</f>
        <v>0</v>
      </c>
      <c r="AB45" s="27">
        <f>VLOOKUP(ужин3,таб,12,FALSE)</f>
        <v>0</v>
      </c>
      <c r="AC45" s="28">
        <f>VLOOKUP(ужин4,таб,12,FALSE)</f>
        <v>0</v>
      </c>
      <c r="AD45" s="27"/>
      <c r="AE45" s="28">
        <f>VLOOKUP(ужин6,таб,12,FALSE)</f>
        <v>0</v>
      </c>
      <c r="AF45" s="27">
        <f>VLOOKUP(ужин7,таб,12,FALSE)</f>
        <v>0</v>
      </c>
      <c r="AG45" s="84">
        <f>VLOOKUP(ужин8,таб,12,FALSE)</f>
        <v>0</v>
      </c>
      <c r="AH45" s="112">
        <v>612024</v>
      </c>
      <c r="AI45" s="122">
        <f>AK45/сред</f>
        <v>0</v>
      </c>
      <c r="AJ45" s="123"/>
      <c r="AK45" s="114">
        <f>SUM(G46:AG46)</f>
        <v>0</v>
      </c>
      <c r="AL45" s="114"/>
      <c r="AM45" s="175">
        <f>IF(AK45=0,0,BB117)</f>
        <v>0</v>
      </c>
      <c r="AN45" s="115">
        <f>AK45*AM45</f>
        <v>0</v>
      </c>
      <c r="AP45" s="101">
        <v>44</v>
      </c>
      <c r="AQ45" s="60" t="s">
        <v>356</v>
      </c>
      <c r="BC45">
        <v>7.6</v>
      </c>
      <c r="CG45">
        <v>240.3</v>
      </c>
      <c r="DC45">
        <v>0.2</v>
      </c>
      <c r="DE45" s="60">
        <v>150</v>
      </c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ht="34.5" customHeight="1">
      <c r="A46" s="128"/>
      <c r="B46" s="128"/>
      <c r="C46" s="128"/>
      <c r="D46" s="128"/>
      <c r="E46" s="129"/>
      <c r="F46" s="65" t="s">
        <v>94</v>
      </c>
      <c r="G46" s="77">
        <f aca="true" t="shared" si="32" ref="G46:M46">IF(G45=0,"",завтракл*G45/1000)</f>
      </c>
      <c r="H46" s="48">
        <f t="shared" si="32"/>
      </c>
      <c r="I46" s="44">
        <f t="shared" si="32"/>
      </c>
      <c r="J46" s="48">
        <f t="shared" si="32"/>
      </c>
      <c r="K46" s="44">
        <f t="shared" si="32"/>
      </c>
      <c r="L46" s="107"/>
      <c r="M46" s="45">
        <f t="shared" si="32"/>
      </c>
      <c r="N46" s="85"/>
      <c r="O46" s="49">
        <f aca="true" t="shared" si="33" ref="O46:T46">IF(O45=0,"",обідл*O45/1000)</f>
      </c>
      <c r="P46" s="44">
        <f t="shared" si="33"/>
      </c>
      <c r="Q46" s="48">
        <f t="shared" si="33"/>
      </c>
      <c r="R46" s="44"/>
      <c r="S46" s="48">
        <f t="shared" si="33"/>
      </c>
      <c r="T46" s="44">
        <f t="shared" si="33"/>
      </c>
      <c r="U46" s="48">
        <f>IF(U45=0,"",обідл*U45/1000)</f>
      </c>
      <c r="V46" s="44">
        <f>IF(V45=0,"",обідл*V45/1000)</f>
      </c>
      <c r="W46" s="44">
        <f>IF(W45=0,"",полдникл*W45/1000)</f>
      </c>
      <c r="X46" s="44">
        <f>IF(X45=0,"",полдникл*X45/1000)</f>
      </c>
      <c r="Y46" s="88">
        <f>IF(Y45=0,"",полдникл*Y45/1000)</f>
      </c>
      <c r="Z46" s="49">
        <f aca="true" t="shared" si="34" ref="Z46:AG46">IF(Z45=0,"",ужинл*Z45/1000)</f>
      </c>
      <c r="AA46" s="48">
        <f t="shared" si="34"/>
      </c>
      <c r="AB46" s="44">
        <f t="shared" si="34"/>
      </c>
      <c r="AC46" s="48">
        <f t="shared" si="34"/>
      </c>
      <c r="AD46" s="44"/>
      <c r="AE46" s="48">
        <f t="shared" si="34"/>
      </c>
      <c r="AF46" s="44">
        <f t="shared" si="34"/>
      </c>
      <c r="AG46" s="88">
        <f t="shared" si="34"/>
      </c>
      <c r="AH46" s="113"/>
      <c r="AI46" s="122"/>
      <c r="AJ46" s="123"/>
      <c r="AK46" s="114"/>
      <c r="AL46" s="114"/>
      <c r="AM46" s="176"/>
      <c r="AN46" s="116"/>
      <c r="AP46">
        <v>45</v>
      </c>
      <c r="AQ46" s="61" t="s">
        <v>153</v>
      </c>
      <c r="AR46" s="60"/>
      <c r="AS46" s="60"/>
      <c r="AT46" s="60"/>
      <c r="AU46" s="60"/>
      <c r="AV46" s="60"/>
      <c r="AW46" s="60"/>
      <c r="AX46" s="60"/>
      <c r="AY46" s="60"/>
      <c r="AZ46" s="60">
        <v>4</v>
      </c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>
        <v>47.9</v>
      </c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>
        <v>44</v>
      </c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>
        <v>150</v>
      </c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ht="34.5" customHeight="1">
      <c r="A47" s="128" t="s">
        <v>12</v>
      </c>
      <c r="B47" s="128"/>
      <c r="C47" s="128"/>
      <c r="D47" s="128"/>
      <c r="E47" s="129"/>
      <c r="F47" s="68" t="s">
        <v>93</v>
      </c>
      <c r="G47" s="74">
        <f>VLOOKUP(завтрак1,таб,13,FALSE)</f>
        <v>2.3</v>
      </c>
      <c r="H47" s="28">
        <f>VLOOKUP(завтрак2,таб,13,FALSE)</f>
        <v>5</v>
      </c>
      <c r="I47" s="27">
        <f>VLOOKUP(завтрак3,таб,13,FALSE)</f>
        <v>3</v>
      </c>
      <c r="J47" s="28">
        <f>VLOOKUP(завтрак4,таб,13,FALSE)</f>
        <v>0</v>
      </c>
      <c r="K47" s="27">
        <f>VLOOKUP(завтрак5,таб,13,FALSE)</f>
        <v>0</v>
      </c>
      <c r="L47" s="106"/>
      <c r="M47" s="27">
        <f>VLOOKUP(завтрак7,таб,13,FALSE)</f>
        <v>0</v>
      </c>
      <c r="N47" s="84"/>
      <c r="O47" s="29">
        <f>VLOOKUP(обед1,таб,13,FALSE)</f>
        <v>3.8</v>
      </c>
      <c r="P47" s="27">
        <f>VLOOKUP(обед2,таб,13,FALSE)</f>
        <v>0</v>
      </c>
      <c r="Q47" s="28">
        <f>VLOOKUP(обед3,таб,13,FALSE)</f>
        <v>0</v>
      </c>
      <c r="R47" s="27"/>
      <c r="S47" s="28">
        <f>VLOOKUP(обед5,таб,13,FALSE)</f>
        <v>0</v>
      </c>
      <c r="T47" s="27">
        <f>VLOOKUP(обед6,таб,13,FALSE)</f>
        <v>0</v>
      </c>
      <c r="U47" s="28">
        <f>VLOOKUP(обед7,таб,13,FALSE)</f>
        <v>0</v>
      </c>
      <c r="V47" s="27">
        <f>VLOOKUP(обед8,таб,13,FALSE)</f>
        <v>0</v>
      </c>
      <c r="W47" s="27">
        <f>VLOOKUP(полдник1,таб,13,FALSE)</f>
        <v>1</v>
      </c>
      <c r="X47" s="27">
        <f>VLOOKUP(полдник2,таб,13,FALSE)</f>
        <v>0</v>
      </c>
      <c r="Y47" s="84">
        <f>VLOOKUP(полдник3,таб,13,FALSE)</f>
        <v>0</v>
      </c>
      <c r="Z47" s="29">
        <f>VLOOKUP(ужин1,таб,13,FALSE)</f>
        <v>0</v>
      </c>
      <c r="AA47" s="28">
        <v>0.9</v>
      </c>
      <c r="AB47" s="27">
        <f>VLOOKUP(ужин3,таб,13,FALSE)</f>
        <v>0</v>
      </c>
      <c r="AC47" s="28"/>
      <c r="AD47" s="27"/>
      <c r="AE47" s="28">
        <f>VLOOKUP(ужин6,таб,13,FALSE)</f>
        <v>0</v>
      </c>
      <c r="AF47" s="27">
        <f>VLOOKUP(ужин7,таб,13,FALSE)</f>
        <v>0</v>
      </c>
      <c r="AG47" s="84">
        <f>VLOOKUP(ужин8,таб,13,FALSE)</f>
        <v>0</v>
      </c>
      <c r="AH47" s="112">
        <v>612025</v>
      </c>
      <c r="AI47" s="122">
        <f>AK47/сред</f>
        <v>0.016614999999999998</v>
      </c>
      <c r="AJ47" s="123"/>
      <c r="AK47" s="114">
        <f>SUM(G48:AG48)</f>
        <v>0.3323</v>
      </c>
      <c r="AL47" s="114"/>
      <c r="AM47" s="175">
        <v>58.8</v>
      </c>
      <c r="AN47" s="115">
        <f>AK47*AM47</f>
        <v>19.53924</v>
      </c>
      <c r="AP47">
        <v>46</v>
      </c>
      <c r="AQ47" s="61" t="s">
        <v>357</v>
      </c>
      <c r="AR47" s="61"/>
      <c r="AS47" s="60"/>
      <c r="AT47" s="60"/>
      <c r="AU47" s="60"/>
      <c r="AV47" s="60"/>
      <c r="AW47" s="60"/>
      <c r="AX47" s="60"/>
      <c r="AY47" s="60"/>
      <c r="AZ47" s="60">
        <v>8</v>
      </c>
      <c r="BA47" s="60"/>
      <c r="BB47" s="60"/>
      <c r="BC47" s="60"/>
      <c r="BD47" s="60">
        <v>15</v>
      </c>
      <c r="BE47" s="60"/>
      <c r="BF47" s="60"/>
      <c r="BG47" s="60"/>
      <c r="BH47" s="60"/>
      <c r="BI47" s="60"/>
      <c r="BJ47" s="60"/>
      <c r="BK47" s="60"/>
      <c r="BL47" s="60">
        <v>1.7</v>
      </c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>
        <v>5</v>
      </c>
      <c r="BX47" s="60"/>
      <c r="BY47" s="60"/>
      <c r="BZ47" s="60"/>
      <c r="CA47" s="60"/>
      <c r="CB47" s="60"/>
      <c r="CC47" s="60"/>
      <c r="CD47" s="60"/>
      <c r="CE47" s="60"/>
      <c r="CF47" s="60">
        <v>43</v>
      </c>
      <c r="CG47" s="60"/>
      <c r="CH47" s="60"/>
      <c r="CI47" s="60"/>
      <c r="CJ47" s="60"/>
      <c r="CK47" s="60"/>
      <c r="CL47" s="60"/>
      <c r="CM47" s="60"/>
      <c r="CN47" s="60"/>
      <c r="CO47" s="60">
        <v>134</v>
      </c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>
        <v>150</v>
      </c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ht="34.5" customHeight="1">
      <c r="A48" s="128"/>
      <c r="B48" s="128"/>
      <c r="C48" s="128"/>
      <c r="D48" s="128"/>
      <c r="E48" s="129"/>
      <c r="F48" s="65" t="s">
        <v>94</v>
      </c>
      <c r="G48" s="75">
        <f aca="true" t="shared" si="35" ref="G48:M48">IF(G47=0,"",завтракл*G47/1000)</f>
        <v>0.048299999999999996</v>
      </c>
      <c r="H48" s="46">
        <f t="shared" si="35"/>
        <v>0.105</v>
      </c>
      <c r="I48" s="45">
        <f t="shared" si="35"/>
        <v>0.063</v>
      </c>
      <c r="J48" s="46">
        <f t="shared" si="35"/>
      </c>
      <c r="K48" s="45">
        <f t="shared" si="35"/>
      </c>
      <c r="L48" s="105"/>
      <c r="M48" s="45">
        <f t="shared" si="35"/>
      </c>
      <c r="N48" s="85"/>
      <c r="O48" s="47">
        <f aca="true" t="shared" si="36" ref="O48:T48">IF(O47=0,"",обідл*O47/1000)</f>
        <v>0.0798</v>
      </c>
      <c r="P48" s="45">
        <f t="shared" si="36"/>
      </c>
      <c r="Q48" s="46">
        <f t="shared" si="36"/>
      </c>
      <c r="R48" s="45"/>
      <c r="S48" s="46">
        <f t="shared" si="36"/>
      </c>
      <c r="T48" s="45">
        <f t="shared" si="36"/>
      </c>
      <c r="U48" s="46">
        <f>IF(U47=0,"",обідл*U47/1000)</f>
      </c>
      <c r="V48" s="45">
        <f>IF(V47=0,"",обідл*V47/1000)</f>
      </c>
      <c r="W48" s="45">
        <f>IF(W47=0,"",полдникл*W47/1000)</f>
        <v>0.02</v>
      </c>
      <c r="X48" s="45">
        <f>IF(X47=0,"",полдникл*X47/1000)</f>
      </c>
      <c r="Y48" s="85">
        <f>IF(Y47=0,"",полдникл*Y47/1000)</f>
      </c>
      <c r="Z48" s="47">
        <f aca="true" t="shared" si="37" ref="Z48:AG48">IF(Z47=0,"",ужинл*Z47/1000)</f>
      </c>
      <c r="AA48" s="46">
        <f t="shared" si="37"/>
        <v>0.0162</v>
      </c>
      <c r="AB48" s="45">
        <f t="shared" si="37"/>
      </c>
      <c r="AC48" s="46">
        <f t="shared" si="37"/>
      </c>
      <c r="AD48" s="45"/>
      <c r="AE48" s="46">
        <f t="shared" si="37"/>
      </c>
      <c r="AF48" s="45">
        <f t="shared" si="37"/>
      </c>
      <c r="AG48" s="85">
        <f t="shared" si="37"/>
      </c>
      <c r="AH48" s="113"/>
      <c r="AI48" s="122"/>
      <c r="AJ48" s="123"/>
      <c r="AK48" s="114"/>
      <c r="AL48" s="114"/>
      <c r="AM48" s="176"/>
      <c r="AN48" s="116"/>
      <c r="AP48">
        <v>47</v>
      </c>
      <c r="AQ48" s="61" t="s">
        <v>358</v>
      </c>
      <c r="AR48" s="61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>
        <v>12</v>
      </c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>
        <v>248</v>
      </c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>
        <v>150</v>
      </c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ht="34.5" customHeight="1">
      <c r="A49" s="128" t="s">
        <v>13</v>
      </c>
      <c r="B49" s="128"/>
      <c r="C49" s="128"/>
      <c r="D49" s="128"/>
      <c r="E49" s="129"/>
      <c r="F49" s="68" t="s">
        <v>93</v>
      </c>
      <c r="G49" s="76">
        <f>VLOOKUP(завтрак1,таб,14,FALSE)</f>
        <v>0</v>
      </c>
      <c r="H49" s="31">
        <f>VLOOKUP(завтрак2,таб,14,FALSE)</f>
        <v>0</v>
      </c>
      <c r="I49" s="30">
        <f>VLOOKUP(завтрак3,таб,14,FALSE)</f>
        <v>0</v>
      </c>
      <c r="J49" s="31">
        <v>190</v>
      </c>
      <c r="K49" s="30">
        <f>VLOOKUP(завтрак5,таб,14,FALSE)</f>
        <v>0</v>
      </c>
      <c r="L49" s="108"/>
      <c r="M49" s="27">
        <f>VLOOKUP(завтрак7,таб,14,FALSE)</f>
        <v>0</v>
      </c>
      <c r="N49" s="84"/>
      <c r="O49" s="32">
        <f>VLOOKUP(обед1,таб,14,FALSE)</f>
        <v>0</v>
      </c>
      <c r="P49" s="30">
        <f>VLOOKUP(обед2,таб,14,FALSE)</f>
        <v>0</v>
      </c>
      <c r="Q49" s="31">
        <f>VLOOKUP(обед3,таб,14,FALSE)</f>
        <v>0</v>
      </c>
      <c r="R49" s="30"/>
      <c r="S49" s="31">
        <f>VLOOKUP(обед5,таб,14,FALSE)</f>
        <v>0</v>
      </c>
      <c r="T49" s="30">
        <f>VLOOKUP(обед6,таб,14,FALSE)</f>
        <v>0</v>
      </c>
      <c r="U49" s="31">
        <f>VLOOKUP(обед7,таб,14,FALSE)</f>
        <v>0</v>
      </c>
      <c r="V49" s="30">
        <f>VLOOKUP(обед8,таб,14,FALSE)</f>
        <v>0</v>
      </c>
      <c r="W49" s="30">
        <f>VLOOKUP(полдник1,таб,14,FALSE)</f>
        <v>0</v>
      </c>
      <c r="X49" s="30">
        <f>VLOOKUP(полдник2,таб,14,FALSE)</f>
        <v>0</v>
      </c>
      <c r="Y49" s="89">
        <f>VLOOKUP(полдник3,таб,14,FALSE)</f>
        <v>0</v>
      </c>
      <c r="Z49" s="32">
        <f>VLOOKUP(ужин1,таб,14,FALSE)</f>
        <v>0</v>
      </c>
      <c r="AA49" s="31">
        <f>VLOOKUP(ужин2,таб,14,FALSE)</f>
        <v>0</v>
      </c>
      <c r="AB49" s="30">
        <f>VLOOKUP(ужин3,таб,14,FALSE)</f>
        <v>0</v>
      </c>
      <c r="AC49" s="31">
        <v>120</v>
      </c>
      <c r="AD49" s="30"/>
      <c r="AE49" s="31">
        <f>VLOOKUP(ужин6,таб,14,FALSE)</f>
        <v>0</v>
      </c>
      <c r="AF49" s="30">
        <f>VLOOKUP(ужин7,таб,14,FALSE)</f>
        <v>0</v>
      </c>
      <c r="AG49" s="89">
        <f>VLOOKUP(ужин8,таб,14,FALSE)</f>
        <v>0</v>
      </c>
      <c r="AH49" s="112">
        <v>612036</v>
      </c>
      <c r="AI49" s="122">
        <f>AK49/сред</f>
        <v>0.3075</v>
      </c>
      <c r="AJ49" s="123"/>
      <c r="AK49" s="114">
        <f>SUM(G50:AG50)</f>
        <v>6.15</v>
      </c>
      <c r="AL49" s="114"/>
      <c r="AM49" s="175">
        <v>20.6</v>
      </c>
      <c r="AN49" s="115">
        <f>AK49*AM49</f>
        <v>126.69000000000001</v>
      </c>
      <c r="AP49">
        <v>48</v>
      </c>
      <c r="AQ49" s="61" t="s">
        <v>359</v>
      </c>
      <c r="AR49" s="61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>
        <v>15</v>
      </c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>
        <v>213</v>
      </c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>
        <v>150</v>
      </c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ht="34.5" customHeight="1">
      <c r="A50" s="157"/>
      <c r="B50" s="157"/>
      <c r="C50" s="157"/>
      <c r="D50" s="157"/>
      <c r="E50" s="158"/>
      <c r="F50" s="65" t="s">
        <v>94</v>
      </c>
      <c r="G50" s="77">
        <f aca="true" t="shared" si="38" ref="G50:M50">IF(G49=0,"",завтракл*G49/1000)</f>
      </c>
      <c r="H50" s="48">
        <f t="shared" si="38"/>
      </c>
      <c r="I50" s="44">
        <f t="shared" si="38"/>
      </c>
      <c r="J50" s="48">
        <f t="shared" si="38"/>
        <v>3.99</v>
      </c>
      <c r="K50" s="44">
        <f t="shared" si="38"/>
      </c>
      <c r="L50" s="107"/>
      <c r="M50" s="45">
        <f t="shared" si="38"/>
      </c>
      <c r="N50" s="85"/>
      <c r="O50" s="49">
        <f aca="true" t="shared" si="39" ref="O50:T50">IF(O49=0,"",обідл*O49/1000)</f>
      </c>
      <c r="P50" s="44">
        <f t="shared" si="39"/>
      </c>
      <c r="Q50" s="48">
        <f t="shared" si="39"/>
      </c>
      <c r="R50" s="44"/>
      <c r="S50" s="48">
        <f t="shared" si="39"/>
      </c>
      <c r="T50" s="44">
        <f t="shared" si="39"/>
      </c>
      <c r="U50" s="48">
        <f>IF(U49=0,"",обідл*U49/1000)</f>
      </c>
      <c r="V50" s="44">
        <f>IF(V49=0,"",обідл*V49/1000)</f>
      </c>
      <c r="W50" s="44">
        <f>IF(W49=0,"",полдникл*W49/1000)</f>
      </c>
      <c r="X50" s="44">
        <f>IF(X49=0,"",полдникл*X49/1000)</f>
      </c>
      <c r="Y50" s="88">
        <f>IF(Y49=0,"",полдникл*Y49/1000)</f>
      </c>
      <c r="Z50" s="49">
        <f aca="true" t="shared" si="40" ref="Z50:AG50">IF(Z49=0,"",ужинл*Z49/1000)</f>
      </c>
      <c r="AA50" s="48">
        <f t="shared" si="40"/>
      </c>
      <c r="AB50" s="44">
        <f t="shared" si="40"/>
      </c>
      <c r="AC50" s="48">
        <f t="shared" si="40"/>
        <v>2.16</v>
      </c>
      <c r="AD50" s="44"/>
      <c r="AE50" s="48">
        <f t="shared" si="40"/>
      </c>
      <c r="AF50" s="44">
        <f t="shared" si="40"/>
      </c>
      <c r="AG50" s="88">
        <f t="shared" si="40"/>
      </c>
      <c r="AH50" s="113"/>
      <c r="AI50" s="122"/>
      <c r="AJ50" s="123"/>
      <c r="AK50" s="114"/>
      <c r="AL50" s="114"/>
      <c r="AM50" s="176"/>
      <c r="AN50" s="116"/>
      <c r="AP50">
        <v>49</v>
      </c>
      <c r="AQ50" s="61" t="s">
        <v>360</v>
      </c>
      <c r="AR50" s="61"/>
      <c r="AZ50">
        <v>10.7</v>
      </c>
      <c r="BD50">
        <v>93</v>
      </c>
      <c r="BL50">
        <v>5.2</v>
      </c>
      <c r="CG50">
        <v>176</v>
      </c>
      <c r="DE50" s="60">
        <v>150</v>
      </c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41" ht="34.5" customHeight="1">
      <c r="A51" s="128" t="s">
        <v>162</v>
      </c>
      <c r="B51" s="128"/>
      <c r="C51" s="128"/>
      <c r="D51" s="128"/>
      <c r="E51" s="129"/>
      <c r="F51" s="68" t="s">
        <v>93</v>
      </c>
      <c r="G51" s="74">
        <f>VLOOKUP(завтрак1,таб,15,FALSE)</f>
        <v>0</v>
      </c>
      <c r="H51" s="28">
        <f>VLOOKUP(завтрак2,таб,15,FALSE)</f>
        <v>0</v>
      </c>
      <c r="I51" s="27">
        <f>VLOOKUP(завтрак3,таб,15,FALSE)</f>
        <v>0</v>
      </c>
      <c r="J51" s="28">
        <f>VLOOKUP(завтрак4,таб,15,FALSE)</f>
        <v>0</v>
      </c>
      <c r="K51" s="27">
        <f>VLOOKUP(завтрак5,таб,15,FALSE)</f>
        <v>0</v>
      </c>
      <c r="L51" s="106"/>
      <c r="M51" s="27">
        <f>VLOOKUP(завтрак7,таб,15,FALSE)</f>
        <v>0</v>
      </c>
      <c r="N51" s="84"/>
      <c r="O51" s="29">
        <f>VLOOKUP(обед1,таб,15,FALSE)</f>
        <v>0</v>
      </c>
      <c r="P51" s="27">
        <f>VLOOKUP(обед2,таб,15,FALSE)</f>
        <v>0</v>
      </c>
      <c r="Q51" s="28">
        <f>VLOOKUP(обед3,таб,15,FALSE)</f>
        <v>0</v>
      </c>
      <c r="R51" s="27"/>
      <c r="S51" s="28">
        <f>VLOOKUP(обед5,таб,15,FALSE)</f>
        <v>0</v>
      </c>
      <c r="T51" s="27">
        <f>VLOOKUP(обед6,таб,15,FALSE)</f>
        <v>0</v>
      </c>
      <c r="U51" s="28">
        <f>VLOOKUP(обед7,таб,15,FALSE)</f>
        <v>0</v>
      </c>
      <c r="V51" s="27">
        <f>VLOOKUP(обед8,таб,15,FALSE)</f>
        <v>0</v>
      </c>
      <c r="W51" s="27">
        <f>VLOOKUP(полдник1,таб,15,FALSE)</f>
        <v>0</v>
      </c>
      <c r="X51" s="27">
        <f>VLOOKUP(полдник2,таб,15,FALSE)</f>
        <v>0</v>
      </c>
      <c r="Y51" s="84">
        <f>VLOOKUP(полдник3,таб,15,FALSE)</f>
        <v>0</v>
      </c>
      <c r="Z51" s="29">
        <f>VLOOKUP(ужин1,таб,15,FALSE)</f>
        <v>0</v>
      </c>
      <c r="AA51" s="28">
        <f>VLOOKUP(ужин2,таб,15,FALSE)</f>
        <v>0</v>
      </c>
      <c r="AB51" s="27">
        <f>VLOOKUP(ужин3,таб,15,FALSE)</f>
        <v>0</v>
      </c>
      <c r="AC51" s="28">
        <f>VLOOKUP(ужин4,таб,15,FALSE)</f>
        <v>0</v>
      </c>
      <c r="AD51" s="27"/>
      <c r="AE51" s="28">
        <f>VLOOKUP(ужин6,таб,15,FALSE)</f>
        <v>0</v>
      </c>
      <c r="AF51" s="27">
        <f>VLOOKUP(ужин7,таб,15,FALSE)</f>
        <v>0</v>
      </c>
      <c r="AG51" s="84">
        <f>VLOOKUP(ужин8,таб,15,FALSE)</f>
        <v>0</v>
      </c>
      <c r="AH51" s="112">
        <v>612034</v>
      </c>
      <c r="AI51" s="122">
        <f>AK51/сред</f>
        <v>0</v>
      </c>
      <c r="AJ51" s="123"/>
      <c r="AK51" s="114">
        <f>SUM(G52:AG52)</f>
        <v>0</v>
      </c>
      <c r="AL51" s="114"/>
      <c r="AM51" s="175">
        <f>IF(AK51=0,0,BE117)</f>
        <v>0</v>
      </c>
      <c r="AN51" s="115">
        <f>AK51*AM51</f>
        <v>0</v>
      </c>
      <c r="AP51">
        <v>50</v>
      </c>
      <c r="AQ51" s="60" t="s">
        <v>361</v>
      </c>
      <c r="AZ51">
        <v>10.7</v>
      </c>
      <c r="BD51">
        <v>93</v>
      </c>
      <c r="BL51">
        <v>5.2</v>
      </c>
      <c r="CG51">
        <v>176</v>
      </c>
      <c r="DE51" s="60">
        <v>150</v>
      </c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>
        <v>4.9</v>
      </c>
      <c r="DR51" s="60"/>
      <c r="DS51" s="60"/>
      <c r="DT51" s="60"/>
      <c r="DU51" s="60"/>
      <c r="DV51" s="60"/>
      <c r="DW51" s="60"/>
      <c r="DX51" s="60"/>
      <c r="DY51" s="60"/>
      <c r="EK51">
        <v>0.6</v>
      </c>
    </row>
    <row r="52" spans="1:129" ht="34.5" customHeight="1">
      <c r="A52" s="128"/>
      <c r="B52" s="128"/>
      <c r="C52" s="128"/>
      <c r="D52" s="128"/>
      <c r="E52" s="129"/>
      <c r="F52" s="65" t="s">
        <v>94</v>
      </c>
      <c r="G52" s="75">
        <f aca="true" t="shared" si="41" ref="G52:M52">IF(G51=0,"",завтракл*G51/1000)</f>
      </c>
      <c r="H52" s="46">
        <f t="shared" si="41"/>
      </c>
      <c r="I52" s="45">
        <f t="shared" si="41"/>
      </c>
      <c r="J52" s="46">
        <f t="shared" si="41"/>
      </c>
      <c r="K52" s="45">
        <f t="shared" si="41"/>
      </c>
      <c r="L52" s="105"/>
      <c r="M52" s="45">
        <f t="shared" si="41"/>
      </c>
      <c r="N52" s="85"/>
      <c r="O52" s="47">
        <f aca="true" t="shared" si="42" ref="O52:T52">IF(O51=0,"",обідл*O51/1000)</f>
      </c>
      <c r="P52" s="45">
        <f t="shared" si="42"/>
      </c>
      <c r="Q52" s="46">
        <f t="shared" si="42"/>
      </c>
      <c r="R52" s="45"/>
      <c r="S52" s="46">
        <f t="shared" si="42"/>
      </c>
      <c r="T52" s="45">
        <f t="shared" si="42"/>
      </c>
      <c r="U52" s="46">
        <f>IF(U51=0,"",обідл*U51/1000)</f>
      </c>
      <c r="V52" s="45">
        <f>IF(V51=0,"",обідл*V51/1000)</f>
      </c>
      <c r="W52" s="45">
        <f>IF(W51=0,"",полдникл*W51/1000)</f>
      </c>
      <c r="X52" s="45">
        <f>IF(X51=0,"",полдникл*X51/1000)</f>
      </c>
      <c r="Y52" s="85">
        <f>IF(Y51=0,"",полдникл*Y51/1000)</f>
      </c>
      <c r="Z52" s="47">
        <f aca="true" t="shared" si="43" ref="Z52:AG52">IF(Z51=0,"",ужинл*Z51/1000)</f>
      </c>
      <c r="AA52" s="46">
        <f t="shared" si="43"/>
      </c>
      <c r="AB52" s="45">
        <f t="shared" si="43"/>
      </c>
      <c r="AC52" s="46">
        <f t="shared" si="43"/>
      </c>
      <c r="AD52" s="45"/>
      <c r="AE52" s="46">
        <f t="shared" si="43"/>
      </c>
      <c r="AF52" s="45">
        <f t="shared" si="43"/>
      </c>
      <c r="AG52" s="85">
        <f t="shared" si="43"/>
      </c>
      <c r="AH52" s="113"/>
      <c r="AI52" s="122"/>
      <c r="AJ52" s="123"/>
      <c r="AK52" s="114"/>
      <c r="AL52" s="114"/>
      <c r="AM52" s="176"/>
      <c r="AN52" s="116"/>
      <c r="AP52">
        <v>51</v>
      </c>
      <c r="AQ52" s="61" t="s">
        <v>362</v>
      </c>
      <c r="AR52" s="61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>
        <v>2</v>
      </c>
      <c r="BD52" s="60"/>
      <c r="BE52" s="60"/>
      <c r="BF52" s="60"/>
      <c r="BG52" s="60"/>
      <c r="BH52" s="60"/>
      <c r="BI52" s="60"/>
      <c r="BJ52" s="60"/>
      <c r="BK52" s="60"/>
      <c r="BL52" s="60">
        <v>206</v>
      </c>
      <c r="BM52" s="60"/>
      <c r="BN52" s="60"/>
      <c r="BO52" s="60"/>
      <c r="BP52" s="60"/>
      <c r="BQ52" s="60"/>
      <c r="BR52" s="60"/>
      <c r="BS52" s="60"/>
      <c r="BT52" s="60"/>
      <c r="BU52" s="60">
        <v>4.1</v>
      </c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>
        <v>70.7</v>
      </c>
      <c r="CH52" s="60"/>
      <c r="CI52" s="60">
        <v>25</v>
      </c>
      <c r="CJ52" s="60"/>
      <c r="CK52" s="60"/>
      <c r="CL52" s="60"/>
      <c r="CM52" s="60">
        <v>13.2</v>
      </c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>
        <v>100</v>
      </c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>
        <v>4.1</v>
      </c>
      <c r="DR52" s="60"/>
      <c r="DS52" s="60"/>
      <c r="DT52" s="60"/>
      <c r="DU52" s="60"/>
      <c r="DV52" s="60"/>
      <c r="DW52" s="60"/>
      <c r="DX52" s="60"/>
      <c r="DY52" s="60"/>
    </row>
    <row r="53" spans="1:129" ht="34.5" customHeight="1">
      <c r="A53" s="153" t="s">
        <v>14</v>
      </c>
      <c r="B53" s="153"/>
      <c r="C53" s="153"/>
      <c r="D53" s="153"/>
      <c r="E53" s="154"/>
      <c r="F53" s="68" t="s">
        <v>93</v>
      </c>
      <c r="G53" s="76">
        <f>VLOOKUP(завтрак1,таб,16,FALSE)</f>
        <v>0</v>
      </c>
      <c r="H53" s="31">
        <f>VLOOKUP(завтрак2,таб,16,FALSE)</f>
        <v>0</v>
      </c>
      <c r="I53" s="30">
        <f>VLOOKUP(завтрак3,таб,16,FALSE)</f>
        <v>0</v>
      </c>
      <c r="J53" s="31">
        <f>VLOOKUP(завтрак4,таб,16,FALSE)</f>
        <v>0</v>
      </c>
      <c r="K53" s="30">
        <f>VLOOKUP(завтрак5,таб,16,FALSE)</f>
        <v>0</v>
      </c>
      <c r="L53" s="108"/>
      <c r="M53" s="27">
        <f>VLOOKUP(завтрак7,таб,16,FALSE)</f>
        <v>0</v>
      </c>
      <c r="N53" s="84"/>
      <c r="O53" s="32">
        <f>VLOOKUP(обед1,таб,16,FALSE)</f>
        <v>0</v>
      </c>
      <c r="P53" s="30">
        <f>VLOOKUP(обед2,таб,16,FALSE)</f>
        <v>0</v>
      </c>
      <c r="Q53" s="31">
        <f>VLOOKUP(обед3,таб,16,FALSE)</f>
        <v>0</v>
      </c>
      <c r="R53" s="30"/>
      <c r="S53" s="31">
        <f>VLOOKUP(обед5,таб,16,FALSE)</f>
        <v>0</v>
      </c>
      <c r="T53" s="30">
        <f>VLOOKUP(обед6,таб,16,FALSE)</f>
        <v>0</v>
      </c>
      <c r="U53" s="31">
        <f>VLOOKUP(обед7,таб,16,FALSE)</f>
        <v>0</v>
      </c>
      <c r="V53" s="30">
        <f>VLOOKUP(обед8,таб,16,FALSE)</f>
        <v>0</v>
      </c>
      <c r="W53" s="30">
        <f>VLOOKUP(полдник1,таб,16,FALSE)</f>
        <v>0</v>
      </c>
      <c r="X53" s="30">
        <f>VLOOKUP(полдник2,таб,16,FALSE)</f>
        <v>125</v>
      </c>
      <c r="Y53" s="89">
        <f>VLOOKUP(полдник3,таб,16,FALSE)</f>
        <v>0</v>
      </c>
      <c r="Z53" s="32">
        <f>VLOOKUP(ужин1,таб,16,FALSE)</f>
        <v>0</v>
      </c>
      <c r="AA53" s="31">
        <f>VLOOKUP(ужин2,таб,16,FALSE)</f>
        <v>0</v>
      </c>
      <c r="AB53" s="30">
        <f>VLOOKUP(ужин3,таб,16,FALSE)</f>
        <v>0</v>
      </c>
      <c r="AC53" s="31">
        <f>VLOOKUP(ужин4,таб,16,FALSE)</f>
        <v>0</v>
      </c>
      <c r="AD53" s="30"/>
      <c r="AE53" s="31">
        <f>VLOOKUP(ужин6,таб,16,FALSE)</f>
        <v>0</v>
      </c>
      <c r="AF53" s="30">
        <f>VLOOKUP(ужин7,таб,16,FALSE)</f>
        <v>0</v>
      </c>
      <c r="AG53" s="89">
        <f>VLOOKUP(ужин8,таб,16,FALSE)</f>
        <v>0</v>
      </c>
      <c r="AH53" s="112">
        <v>612053</v>
      </c>
      <c r="AI53" s="122">
        <f>AK53/сред</f>
        <v>0.125</v>
      </c>
      <c r="AJ53" s="123"/>
      <c r="AK53" s="114">
        <f>SUM(G54:AG54)</f>
        <v>2.5</v>
      </c>
      <c r="AL53" s="114"/>
      <c r="AM53" s="175">
        <v>31.21</v>
      </c>
      <c r="AN53" s="115">
        <f>AK53*AM53</f>
        <v>78.025</v>
      </c>
      <c r="AP53">
        <v>52</v>
      </c>
      <c r="AQ53" s="61" t="s">
        <v>154</v>
      </c>
      <c r="AR53" s="61"/>
      <c r="AS53" s="60"/>
      <c r="AT53" s="60"/>
      <c r="AU53" s="60"/>
      <c r="AV53" s="60">
        <v>79.2</v>
      </c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>
        <v>6</v>
      </c>
      <c r="BI53" s="60"/>
      <c r="BJ53" s="60">
        <v>0.1</v>
      </c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>
        <v>50</v>
      </c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ht="34.5" customHeight="1">
      <c r="A54" s="157"/>
      <c r="B54" s="157"/>
      <c r="C54" s="157"/>
      <c r="D54" s="157"/>
      <c r="E54" s="158"/>
      <c r="F54" s="65" t="s">
        <v>94</v>
      </c>
      <c r="G54" s="77">
        <f aca="true" t="shared" si="44" ref="G54:M54">IF(G53=0,"",завтракл*G53/1000)</f>
      </c>
      <c r="H54" s="48">
        <f t="shared" si="44"/>
      </c>
      <c r="I54" s="44">
        <f t="shared" si="44"/>
      </c>
      <c r="J54" s="48">
        <f t="shared" si="44"/>
      </c>
      <c r="K54" s="44">
        <f t="shared" si="44"/>
      </c>
      <c r="L54" s="107"/>
      <c r="M54" s="45">
        <f t="shared" si="44"/>
      </c>
      <c r="N54" s="85"/>
      <c r="O54" s="49">
        <f aca="true" t="shared" si="45" ref="O54:T54">IF(O53=0,"",обідл*O53/1000)</f>
      </c>
      <c r="P54" s="44">
        <f t="shared" si="45"/>
      </c>
      <c r="Q54" s="48">
        <f t="shared" si="45"/>
      </c>
      <c r="R54" s="44"/>
      <c r="S54" s="48">
        <f t="shared" si="45"/>
      </c>
      <c r="T54" s="44">
        <f t="shared" si="45"/>
      </c>
      <c r="U54" s="48">
        <f>IF(U53=0,"",обідл*U53/1000)</f>
      </c>
      <c r="V54" s="44">
        <f>IF(V53=0,"",обідл*V53/1000)</f>
      </c>
      <c r="W54" s="44">
        <f>IF(W53=0,"",полдникл*W53/1000)</f>
      </c>
      <c r="X54" s="44">
        <f>IF(X53=0,"",полдникл*X53/1000)</f>
        <v>2.5</v>
      </c>
      <c r="Y54" s="88">
        <f>IF(Y53=0,"",полдникл*Y53/1000)</f>
      </c>
      <c r="Z54" s="49">
        <f aca="true" t="shared" si="46" ref="Z54:AG54">IF(Z53=0,"",ужинл*Z53/1000)</f>
      </c>
      <c r="AA54" s="48">
        <f t="shared" si="46"/>
      </c>
      <c r="AB54" s="44">
        <f t="shared" si="46"/>
      </c>
      <c r="AC54" s="48">
        <f t="shared" si="46"/>
      </c>
      <c r="AD54" s="44"/>
      <c r="AE54" s="48">
        <f t="shared" si="46"/>
      </c>
      <c r="AF54" s="44">
        <f t="shared" si="46"/>
      </c>
      <c r="AG54" s="88">
        <f t="shared" si="46"/>
      </c>
      <c r="AH54" s="113"/>
      <c r="AI54" s="122"/>
      <c r="AJ54" s="123"/>
      <c r="AK54" s="114"/>
      <c r="AL54" s="114"/>
      <c r="AM54" s="176"/>
      <c r="AN54" s="116"/>
      <c r="AP54">
        <v>53</v>
      </c>
      <c r="AQ54" s="61" t="s">
        <v>363</v>
      </c>
      <c r="AR54" s="61"/>
      <c r="AS54" s="60"/>
      <c r="AT54" s="60"/>
      <c r="AU54" s="60"/>
      <c r="AV54" s="60"/>
      <c r="AW54" s="60"/>
      <c r="AX54" s="60"/>
      <c r="AY54" s="60"/>
      <c r="AZ54" s="60">
        <v>0.85</v>
      </c>
      <c r="BA54" s="60"/>
      <c r="BB54" s="60"/>
      <c r="BC54" s="60">
        <v>3.8</v>
      </c>
      <c r="BD54" s="60">
        <v>47</v>
      </c>
      <c r="BE54" s="60"/>
      <c r="BF54" s="60"/>
      <c r="BG54" s="60"/>
      <c r="BH54" s="60"/>
      <c r="BI54" s="60"/>
      <c r="BJ54" s="60"/>
      <c r="BK54" s="60"/>
      <c r="BL54" s="60">
        <v>206</v>
      </c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>
        <v>9.9</v>
      </c>
      <c r="CJ54" s="60"/>
      <c r="CK54" s="60"/>
      <c r="CL54" s="60"/>
      <c r="CM54" s="60">
        <v>13.2</v>
      </c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>
        <v>150</v>
      </c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ht="34.5" customHeight="1">
      <c r="A55" s="128" t="s">
        <v>15</v>
      </c>
      <c r="B55" s="128"/>
      <c r="C55" s="128"/>
      <c r="D55" s="128"/>
      <c r="E55" s="129"/>
      <c r="F55" s="68" t="s">
        <v>93</v>
      </c>
      <c r="G55" s="74">
        <f>VLOOKUP(завтрак1,таб,17,FALSE)</f>
        <v>0</v>
      </c>
      <c r="H55" s="33">
        <f>VLOOKUP(завтрак2,таб,17,FALSE)</f>
        <v>0</v>
      </c>
      <c r="I55" s="34">
        <f>VLOOKUP(завтрак3,таб,17,FALSE)</f>
        <v>10</v>
      </c>
      <c r="J55" s="33">
        <f>VLOOKUP(завтрак4,таб,17,FALSE)</f>
        <v>0</v>
      </c>
      <c r="K55" s="34">
        <f>VLOOKUP(завтрак5,таб,17,FALSE)</f>
        <v>0</v>
      </c>
      <c r="L55" s="109"/>
      <c r="M55" s="27">
        <f>VLOOKUP(завтрак7,таб,17,FALSE)</f>
        <v>0</v>
      </c>
      <c r="N55" s="84"/>
      <c r="O55" s="35">
        <f>VLOOKUP(обед1,таб,17,FALSE)</f>
        <v>0</v>
      </c>
      <c r="P55" s="34">
        <f>VLOOKUP(обед2,таб,17,FALSE)</f>
        <v>0</v>
      </c>
      <c r="Q55" s="33">
        <f>VLOOKUP(обед3,таб,17,FALSE)</f>
        <v>0</v>
      </c>
      <c r="R55" s="34"/>
      <c r="S55" s="33">
        <f>VLOOKUP(обед5,таб,17,FALSE)</f>
        <v>0</v>
      </c>
      <c r="T55" s="34">
        <f>VLOOKUP(обед6,таб,17,FALSE)</f>
        <v>0</v>
      </c>
      <c r="U55" s="33">
        <f>VLOOKUP(обед7,таб,17,FALSE)</f>
        <v>0</v>
      </c>
      <c r="V55" s="34">
        <f>VLOOKUP(обед8,таб,17,FALSE)</f>
        <v>0</v>
      </c>
      <c r="W55" s="34">
        <f>VLOOKUP(полдник1,таб,17,FALSE)</f>
        <v>3</v>
      </c>
      <c r="X55" s="34">
        <f>VLOOKUP(полдник2,таб,17,FALSE)</f>
        <v>0</v>
      </c>
      <c r="Y55" s="90">
        <f>VLOOKUP(полдник3,таб,17,FALSE)</f>
        <v>0</v>
      </c>
      <c r="Z55" s="35">
        <f>VLOOKUP(ужин1,таб,17,FALSE)</f>
        <v>7.5</v>
      </c>
      <c r="AA55" s="33">
        <f>VLOOKUP(ужин2,таб,17,FALSE)</f>
        <v>0</v>
      </c>
      <c r="AB55" s="34">
        <f>VLOOKUP(ужин3,таб,17,FALSE)</f>
        <v>0</v>
      </c>
      <c r="AC55" s="33">
        <f>VLOOKUP(ужин4,таб,17,FALSE)</f>
        <v>0</v>
      </c>
      <c r="AD55" s="34"/>
      <c r="AE55" s="33">
        <f>VLOOKUP(ужин6,таб,17,FALSE)</f>
        <v>0</v>
      </c>
      <c r="AF55" s="34">
        <f>VLOOKUP(ужин7,таб,17,FALSE)</f>
        <v>0</v>
      </c>
      <c r="AG55" s="90">
        <f>VLOOKUP(ужин8,таб,17,FALSE)</f>
        <v>0</v>
      </c>
      <c r="AH55" s="112">
        <v>612060</v>
      </c>
      <c r="AI55" s="122">
        <f>AK55/сред</f>
        <v>0.02025</v>
      </c>
      <c r="AJ55" s="123"/>
      <c r="AK55" s="114">
        <f>SUM(G56:AG56)</f>
        <v>0.405</v>
      </c>
      <c r="AL55" s="114"/>
      <c r="AM55" s="175">
        <v>60.75</v>
      </c>
      <c r="AN55" s="115">
        <f>AK55*AM55</f>
        <v>24.60375</v>
      </c>
      <c r="AP55">
        <v>54</v>
      </c>
      <c r="AQ55" s="61" t="s">
        <v>364</v>
      </c>
      <c r="AR55" s="61"/>
      <c r="AZ55">
        <v>8.5</v>
      </c>
      <c r="BD55">
        <v>85.4</v>
      </c>
      <c r="BI55">
        <v>21.5</v>
      </c>
      <c r="BL55">
        <v>8.6</v>
      </c>
      <c r="BS55">
        <v>19.6</v>
      </c>
      <c r="DE55" s="60">
        <v>150</v>
      </c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ht="34.5" customHeight="1">
      <c r="A56" s="128"/>
      <c r="B56" s="128"/>
      <c r="C56" s="128"/>
      <c r="D56" s="128"/>
      <c r="E56" s="129"/>
      <c r="F56" s="65" t="s">
        <v>94</v>
      </c>
      <c r="G56" s="75">
        <f aca="true" t="shared" si="47" ref="G56:M56">IF(G55=0,"",завтракл*G55/1000)</f>
      </c>
      <c r="H56" s="46">
        <f t="shared" si="47"/>
      </c>
      <c r="I56" s="45">
        <f t="shared" si="47"/>
        <v>0.21</v>
      </c>
      <c r="J56" s="46">
        <f t="shared" si="47"/>
      </c>
      <c r="K56" s="45">
        <f t="shared" si="47"/>
      </c>
      <c r="L56" s="105"/>
      <c r="M56" s="45">
        <f t="shared" si="47"/>
      </c>
      <c r="N56" s="85"/>
      <c r="O56" s="47">
        <f aca="true" t="shared" si="48" ref="O56:T56">IF(O55=0,"",обідл*O55/1000)</f>
      </c>
      <c r="P56" s="45">
        <f t="shared" si="48"/>
      </c>
      <c r="Q56" s="46">
        <f t="shared" si="48"/>
      </c>
      <c r="R56" s="45"/>
      <c r="S56" s="46">
        <f t="shared" si="48"/>
      </c>
      <c r="T56" s="45">
        <f t="shared" si="48"/>
      </c>
      <c r="U56" s="46">
        <f>IF(U55=0,"",обідл*U55/1000)</f>
      </c>
      <c r="V56" s="45">
        <f>IF(V55=0,"",обідл*V55/1000)</f>
      </c>
      <c r="W56" s="45">
        <f>IF(W55=0,"",полдникл*W55/1000)</f>
        <v>0.06</v>
      </c>
      <c r="X56" s="45">
        <f>IF(X55=0,"",полдникл*X55/1000)</f>
      </c>
      <c r="Y56" s="85">
        <f>IF(Y55=0,"",полдникл*Y55/1000)</f>
      </c>
      <c r="Z56" s="47">
        <f aca="true" t="shared" si="49" ref="Z56:AG56">IF(Z55=0,"",ужинл*Z55/1000)</f>
        <v>0.135</v>
      </c>
      <c r="AA56" s="46">
        <f t="shared" si="49"/>
      </c>
      <c r="AB56" s="45">
        <f t="shared" si="49"/>
      </c>
      <c r="AC56" s="46">
        <f t="shared" si="49"/>
      </c>
      <c r="AD56" s="45"/>
      <c r="AE56" s="46">
        <f t="shared" si="49"/>
      </c>
      <c r="AF56" s="45">
        <f t="shared" si="49"/>
      </c>
      <c r="AG56" s="85">
        <f t="shared" si="49"/>
      </c>
      <c r="AH56" s="113"/>
      <c r="AI56" s="122"/>
      <c r="AJ56" s="123"/>
      <c r="AK56" s="114"/>
      <c r="AL56" s="114"/>
      <c r="AM56" s="176"/>
      <c r="AN56" s="116"/>
      <c r="AP56">
        <v>55</v>
      </c>
      <c r="AQ56" s="60" t="s">
        <v>365</v>
      </c>
      <c r="AR56" s="60"/>
      <c r="AS56" s="60"/>
      <c r="AT56" s="60">
        <v>64.1</v>
      </c>
      <c r="AU56" s="60"/>
      <c r="AV56" s="60"/>
      <c r="AW56" s="60"/>
      <c r="AX56" s="60"/>
      <c r="AY56" s="60"/>
      <c r="AZ56" s="60">
        <v>3</v>
      </c>
      <c r="BA56" s="60"/>
      <c r="BB56" s="60"/>
      <c r="BC56" s="60">
        <v>1.1</v>
      </c>
      <c r="BD56" s="60"/>
      <c r="BE56" s="60"/>
      <c r="BF56" s="60"/>
      <c r="BG56" s="60"/>
      <c r="BH56" s="60"/>
      <c r="BI56" s="60"/>
      <c r="BJ56" s="60"/>
      <c r="BK56" s="60"/>
      <c r="BL56" s="60">
        <v>2</v>
      </c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>
        <v>103.1</v>
      </c>
      <c r="CH56" s="60"/>
      <c r="CI56" s="60">
        <v>11.6</v>
      </c>
      <c r="CJ56" s="60">
        <v>22.4</v>
      </c>
      <c r="CK56" s="60"/>
      <c r="CL56" s="60"/>
      <c r="CM56" s="60">
        <v>7.5</v>
      </c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>
        <v>150</v>
      </c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ht="34.5" customHeight="1">
      <c r="A57" s="153" t="s">
        <v>16</v>
      </c>
      <c r="B57" s="153"/>
      <c r="C57" s="153"/>
      <c r="D57" s="153"/>
      <c r="E57" s="154"/>
      <c r="F57" s="68" t="s">
        <v>93</v>
      </c>
      <c r="G57" s="76">
        <f>VLOOKUP(завтрак1,таб,18,FALSE)</f>
        <v>0</v>
      </c>
      <c r="H57" s="36">
        <f>VLOOKUP(завтрак2,таб,18,FALSE)</f>
        <v>0</v>
      </c>
      <c r="I57" s="37">
        <f>VLOOKUP(завтрак3,таб,18,FALSE)</f>
        <v>0</v>
      </c>
      <c r="J57" s="36">
        <f>VLOOKUP(завтрак4,таб,18,FALSE)</f>
        <v>0</v>
      </c>
      <c r="K57" s="37">
        <f>VLOOKUP(завтрак5,таб,18,FALSE)</f>
        <v>0</v>
      </c>
      <c r="L57" s="110"/>
      <c r="M57" s="27">
        <f>VLOOKUP(завтрак7,таб,18,FALSE)</f>
        <v>0</v>
      </c>
      <c r="N57" s="84"/>
      <c r="O57" s="38">
        <f>VLOOKUP(обед1,таб,18,FALSE)</f>
        <v>0</v>
      </c>
      <c r="P57" s="37">
        <f>VLOOKUP(обед2,таб,18,FALSE)</f>
        <v>0</v>
      </c>
      <c r="Q57" s="36">
        <f>VLOOKUP(обед3,таб,18,FALSE)</f>
        <v>0</v>
      </c>
      <c r="R57" s="37"/>
      <c r="S57" s="36">
        <f>VLOOKUP(обед5,таб,18,FALSE)</f>
        <v>0</v>
      </c>
      <c r="T57" s="37">
        <f>VLOOKUP(обед6,таб,18,FALSE)</f>
        <v>0</v>
      </c>
      <c r="U57" s="36">
        <f>VLOOKUP(обед7,таб,18,FALSE)</f>
        <v>0</v>
      </c>
      <c r="V57" s="37">
        <f>VLOOKUP(обед8,таб,18,FALSE)</f>
        <v>0</v>
      </c>
      <c r="W57" s="37">
        <f>VLOOKUP(полдник1,таб,18,FALSE)</f>
        <v>71</v>
      </c>
      <c r="X57" s="37">
        <f>VLOOKUP(полдник2,таб,18,FALSE)</f>
        <v>0</v>
      </c>
      <c r="Y57" s="91">
        <f>VLOOKUP(полдник3,таб,18,FALSE)</f>
        <v>0</v>
      </c>
      <c r="Z57" s="38">
        <f>VLOOKUP(ужин1,таб,18,FALSE)</f>
        <v>0</v>
      </c>
      <c r="AA57" s="36">
        <f>VLOOKUP(ужин2,таб,18,FALSE)</f>
        <v>0</v>
      </c>
      <c r="AB57" s="37">
        <f>VLOOKUP(ужин3,таб,18,FALSE)</f>
        <v>0</v>
      </c>
      <c r="AC57" s="36">
        <f>VLOOKUP(ужин4,таб,18,FALSE)</f>
        <v>0</v>
      </c>
      <c r="AD57" s="37"/>
      <c r="AE57" s="36">
        <f>VLOOKUP(ужин6,таб,18,FALSE)</f>
        <v>0</v>
      </c>
      <c r="AF57" s="37">
        <f>VLOOKUP(ужин7,таб,18,FALSE)</f>
        <v>0</v>
      </c>
      <c r="AG57" s="91">
        <f>VLOOKUP(ужин8,таб,18,FALSE)</f>
        <v>0</v>
      </c>
      <c r="AH57" s="112">
        <v>612087</v>
      </c>
      <c r="AI57" s="122">
        <f>AK57/сред</f>
        <v>0.071</v>
      </c>
      <c r="AJ57" s="123"/>
      <c r="AK57" s="114">
        <f>SUM(G58:AG58)</f>
        <v>1.42</v>
      </c>
      <c r="AL57" s="114"/>
      <c r="AM57" s="175">
        <v>46</v>
      </c>
      <c r="AN57" s="115">
        <f>AK57*AM57</f>
        <v>65.32</v>
      </c>
      <c r="AP57">
        <v>56</v>
      </c>
      <c r="AQ57" s="60" t="s">
        <v>366</v>
      </c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>
        <v>0.4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>
        <v>3</v>
      </c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>
        <v>85</v>
      </c>
      <c r="CJ57" s="60">
        <v>3</v>
      </c>
      <c r="CK57" s="60"/>
      <c r="CL57" s="60"/>
      <c r="CM57" s="60">
        <v>20</v>
      </c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>
        <v>100</v>
      </c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ht="34.5" customHeight="1">
      <c r="A58" s="157"/>
      <c r="B58" s="157"/>
      <c r="C58" s="157"/>
      <c r="D58" s="157"/>
      <c r="E58" s="158"/>
      <c r="F58" s="65" t="s">
        <v>94</v>
      </c>
      <c r="G58" s="77">
        <f aca="true" t="shared" si="50" ref="G58:M58">IF(G57=0,"",завтракл*G57/1000)</f>
      </c>
      <c r="H58" s="48">
        <f t="shared" si="50"/>
      </c>
      <c r="I58" s="44">
        <f t="shared" si="50"/>
      </c>
      <c r="J58" s="48">
        <f t="shared" si="50"/>
      </c>
      <c r="K58" s="44">
        <f t="shared" si="50"/>
      </c>
      <c r="L58" s="107"/>
      <c r="M58" s="45">
        <f t="shared" si="50"/>
      </c>
      <c r="N58" s="85"/>
      <c r="O58" s="49">
        <f aca="true" t="shared" si="51" ref="O58:T58">IF(O57=0,"",обідл*O57/1000)</f>
      </c>
      <c r="P58" s="44">
        <f t="shared" si="51"/>
      </c>
      <c r="Q58" s="48">
        <f t="shared" si="51"/>
      </c>
      <c r="R58" s="44"/>
      <c r="S58" s="48">
        <f t="shared" si="51"/>
      </c>
      <c r="T58" s="44">
        <f t="shared" si="51"/>
      </c>
      <c r="U58" s="48">
        <f>IF(U57=0,"",обідл*U57/1000)</f>
      </c>
      <c r="V58" s="44">
        <f>IF(V57=0,"",обідл*V57/1000)</f>
      </c>
      <c r="W58" s="44">
        <f>IF(W57=0,"",полдникл*W57/1000)</f>
        <v>1.42</v>
      </c>
      <c r="X58" s="44">
        <f>IF(X57=0,"",полдникл*X57/1000)</f>
      </c>
      <c r="Y58" s="88">
        <f>IF(Y57=0,"",полдникл*Y57/1000)</f>
      </c>
      <c r="Z58" s="49">
        <f aca="true" t="shared" si="52" ref="Z58:AG58">IF(Z57=0,"",ужинл*Z57/1000)</f>
      </c>
      <c r="AA58" s="48">
        <f t="shared" si="52"/>
      </c>
      <c r="AB58" s="44">
        <f t="shared" si="52"/>
      </c>
      <c r="AC58" s="48">
        <f t="shared" si="52"/>
      </c>
      <c r="AD58" s="44"/>
      <c r="AE58" s="48">
        <f t="shared" si="52"/>
      </c>
      <c r="AF58" s="44">
        <f t="shared" si="52"/>
      </c>
      <c r="AG58" s="88">
        <f t="shared" si="52"/>
      </c>
      <c r="AH58" s="113"/>
      <c r="AI58" s="122"/>
      <c r="AJ58" s="123"/>
      <c r="AK58" s="114"/>
      <c r="AL58" s="114"/>
      <c r="AM58" s="176"/>
      <c r="AN58" s="116"/>
      <c r="AP58">
        <v>57</v>
      </c>
      <c r="AQ58" s="61" t="s">
        <v>367</v>
      </c>
      <c r="AR58" s="61"/>
      <c r="AS58" s="60"/>
      <c r="AT58" s="60">
        <v>104.2</v>
      </c>
      <c r="AU58" s="60"/>
      <c r="AV58" s="60"/>
      <c r="AW58" s="60"/>
      <c r="AX58" s="60"/>
      <c r="AY58" s="60"/>
      <c r="AZ58" s="60"/>
      <c r="BA58" s="60"/>
      <c r="BB58" s="60"/>
      <c r="BC58" s="60">
        <v>4.5</v>
      </c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>
        <v>75</v>
      </c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ht="34.5" customHeight="1">
      <c r="A59" s="128" t="s">
        <v>17</v>
      </c>
      <c r="B59" s="128"/>
      <c r="C59" s="128"/>
      <c r="D59" s="128"/>
      <c r="E59" s="129"/>
      <c r="F59" s="68" t="s">
        <v>93</v>
      </c>
      <c r="G59" s="74">
        <f>VLOOKUP(завтрак1,таб,19,FALSE)</f>
        <v>0</v>
      </c>
      <c r="H59" s="33">
        <f>VLOOKUP(завтрак2,таб,19,FALSE)</f>
        <v>0</v>
      </c>
      <c r="I59" s="34">
        <f>VLOOKUP(завтрак3,таб,19,FALSE)</f>
        <v>0</v>
      </c>
      <c r="J59" s="33">
        <f>VLOOKUP(завтрак4,таб,19,FALSE)</f>
        <v>0</v>
      </c>
      <c r="K59" s="34">
        <f>VLOOKUP(завтрак5,таб,19,FALSE)</f>
        <v>0</v>
      </c>
      <c r="L59" s="109"/>
      <c r="M59" s="27">
        <f>VLOOKUP(завтрак7,таб,19,FALSE)</f>
        <v>0</v>
      </c>
      <c r="N59" s="84"/>
      <c r="O59" s="35">
        <f>VLOOKUP(обед1,таб,19,FALSE)</f>
        <v>0</v>
      </c>
      <c r="P59" s="34">
        <f>VLOOKUP(обед2,таб,19,FALSE)</f>
        <v>0</v>
      </c>
      <c r="Q59" s="33">
        <f>VLOOKUP(обед3,таб,19,FALSE)</f>
        <v>0</v>
      </c>
      <c r="R59" s="34"/>
      <c r="S59" s="33">
        <f>VLOOKUP(обед5,таб,19,FALSE)</f>
        <v>0</v>
      </c>
      <c r="T59" s="34">
        <f>VLOOKUP(обед6,таб,19,FALSE)</f>
        <v>0</v>
      </c>
      <c r="U59" s="33">
        <f>VLOOKUP(обед7,таб,19,FALSE)</f>
        <v>0</v>
      </c>
      <c r="V59" s="34">
        <f>VLOOKUP(обед8,таб,19,FALSE)</f>
        <v>0</v>
      </c>
      <c r="W59" s="34">
        <f>VLOOKUP(полдник1,таб,19,FALSE)</f>
        <v>0</v>
      </c>
      <c r="X59" s="34">
        <f>VLOOKUP(полдник2,таб,19,FALSE)</f>
        <v>0</v>
      </c>
      <c r="Y59" s="90">
        <f>VLOOKUP(полдник3,таб,19,FALSE)</f>
        <v>0</v>
      </c>
      <c r="Z59" s="35">
        <f>VLOOKUP(ужин1,таб,19,FALSE)</f>
        <v>0</v>
      </c>
      <c r="AA59" s="33">
        <f>VLOOKUP(ужин2,таб,19,FALSE)</f>
        <v>0</v>
      </c>
      <c r="AB59" s="34">
        <f>VLOOKUP(ужин3,таб,19,FALSE)</f>
        <v>0</v>
      </c>
      <c r="AC59" s="33">
        <f>VLOOKUP(ужин4,таб,19,FALSE)</f>
        <v>0</v>
      </c>
      <c r="AD59" s="34">
        <v>15</v>
      </c>
      <c r="AE59" s="33">
        <f>VLOOKUP(ужин6,таб,19,FALSE)</f>
        <v>0</v>
      </c>
      <c r="AF59" s="34">
        <f>VLOOKUP(ужин7,таб,19,FALSE)</f>
        <v>0</v>
      </c>
      <c r="AG59" s="90">
        <f>VLOOKUP(ужин8,таб,19,FALSE)</f>
        <v>0</v>
      </c>
      <c r="AH59" s="112">
        <v>612075</v>
      </c>
      <c r="AI59" s="122">
        <f>AK59/сред</f>
        <v>0.013500000000000002</v>
      </c>
      <c r="AJ59" s="123"/>
      <c r="AK59" s="114">
        <f>SUM(G60:AG60)</f>
        <v>0.27</v>
      </c>
      <c r="AL59" s="114"/>
      <c r="AM59" s="175">
        <v>114.99</v>
      </c>
      <c r="AN59" s="115">
        <f>AK59*AM59</f>
        <v>31.0473</v>
      </c>
      <c r="AP59">
        <v>58</v>
      </c>
      <c r="AQ59" s="60" t="s">
        <v>308</v>
      </c>
      <c r="AR59" s="60"/>
      <c r="AT59">
        <v>44.4</v>
      </c>
      <c r="BJ59">
        <v>0.1</v>
      </c>
      <c r="BL59">
        <v>5</v>
      </c>
      <c r="CQ59">
        <v>10</v>
      </c>
      <c r="DE59" s="60">
        <v>50</v>
      </c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ht="34.5" customHeight="1">
      <c r="A60" s="128"/>
      <c r="B60" s="128"/>
      <c r="C60" s="128"/>
      <c r="D60" s="128"/>
      <c r="E60" s="129"/>
      <c r="F60" s="65" t="s">
        <v>94</v>
      </c>
      <c r="G60" s="75">
        <f aca="true" t="shared" si="53" ref="G60:M60">IF(G59=0,"",завтракл*G59/1000)</f>
      </c>
      <c r="H60" s="46">
        <f t="shared" si="53"/>
      </c>
      <c r="I60" s="45">
        <f t="shared" si="53"/>
      </c>
      <c r="J60" s="46">
        <f t="shared" si="53"/>
      </c>
      <c r="K60" s="45">
        <f t="shared" si="53"/>
      </c>
      <c r="L60" s="105"/>
      <c r="M60" s="45">
        <f t="shared" si="53"/>
      </c>
      <c r="N60" s="85"/>
      <c r="O60" s="47">
        <f aca="true" t="shared" si="54" ref="O60:T60">IF(O59=0,"",обідл*O59/1000)</f>
      </c>
      <c r="P60" s="45">
        <f t="shared" si="54"/>
      </c>
      <c r="Q60" s="46">
        <f t="shared" si="54"/>
      </c>
      <c r="R60" s="45"/>
      <c r="S60" s="46">
        <f t="shared" si="54"/>
      </c>
      <c r="T60" s="45">
        <f t="shared" si="54"/>
      </c>
      <c r="U60" s="46">
        <f>IF(U59=0,"",обідл*U59/1000)</f>
      </c>
      <c r="V60" s="45">
        <f>IF(V59=0,"",обідл*V59/1000)</f>
      </c>
      <c r="W60" s="45">
        <f>IF(W59=0,"",полдникл*W59/1000)</f>
      </c>
      <c r="X60" s="45">
        <f>IF(X59=0,"",полдникл*X59/1000)</f>
      </c>
      <c r="Y60" s="85">
        <f>IF(Y59=0,"",полдникл*Y59/1000)</f>
      </c>
      <c r="Z60" s="47">
        <f aca="true" t="shared" si="55" ref="Z60:AG60">IF(Z59=0,"",ужинл*Z59/1000)</f>
      </c>
      <c r="AA60" s="46">
        <f t="shared" si="55"/>
      </c>
      <c r="AB60" s="45">
        <f t="shared" si="55"/>
      </c>
      <c r="AC60" s="46">
        <f t="shared" si="55"/>
      </c>
      <c r="AD60" s="45">
        <f t="shared" si="55"/>
        <v>0.27</v>
      </c>
      <c r="AE60" s="46">
        <f t="shared" si="55"/>
      </c>
      <c r="AF60" s="45">
        <f t="shared" si="55"/>
      </c>
      <c r="AG60" s="85">
        <f t="shared" si="55"/>
      </c>
      <c r="AH60" s="113"/>
      <c r="AI60" s="122"/>
      <c r="AJ60" s="123"/>
      <c r="AK60" s="114"/>
      <c r="AL60" s="114"/>
      <c r="AM60" s="176"/>
      <c r="AN60" s="116"/>
      <c r="AP60">
        <v>59</v>
      </c>
      <c r="AQ60" s="61" t="s">
        <v>368</v>
      </c>
      <c r="AR60" s="61"/>
      <c r="AT60">
        <v>104</v>
      </c>
      <c r="BJ60">
        <v>0.1</v>
      </c>
      <c r="BL60">
        <v>7.7</v>
      </c>
      <c r="DE60" s="60">
        <v>75</v>
      </c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ht="34.5" customHeight="1">
      <c r="A61" s="128" t="s">
        <v>18</v>
      </c>
      <c r="B61" s="128"/>
      <c r="C61" s="128"/>
      <c r="D61" s="128"/>
      <c r="E61" s="129"/>
      <c r="F61" s="68" t="s">
        <v>96</v>
      </c>
      <c r="G61" s="74">
        <f>VLOOKUP(завтрак1,таб,20,FALSE)</f>
        <v>0</v>
      </c>
      <c r="H61" s="33">
        <f>VLOOKUP(завтрак2,таб,20,FALSE)</f>
        <v>0</v>
      </c>
      <c r="I61" s="34">
        <f>VLOOKUP(завтрак3,таб,20,FALSE)</f>
        <v>0.4</v>
      </c>
      <c r="J61" s="33">
        <f>VLOOKUP(завтрак4,таб,20,FALSE)</f>
        <v>0</v>
      </c>
      <c r="K61" s="34">
        <f>VLOOKUP(завтрак5,таб,20,FALSE)</f>
        <v>0</v>
      </c>
      <c r="L61" s="109">
        <v>1</v>
      </c>
      <c r="M61" s="27">
        <f>VLOOKUP(завтрак7,таб,20,FALSE)</f>
        <v>0</v>
      </c>
      <c r="N61" s="84"/>
      <c r="O61" s="35">
        <f>VLOOKUP(обед1,таб,20,FALSE)</f>
        <v>0</v>
      </c>
      <c r="P61" s="34">
        <f>VLOOKUP(обед2,таб,20,FALSE)</f>
        <v>0</v>
      </c>
      <c r="Q61" s="33">
        <f>VLOOKUP(обед3,таб,20,FALSE)</f>
        <v>0</v>
      </c>
      <c r="R61" s="34"/>
      <c r="S61" s="33">
        <f>VLOOKUP(обед5,таб,20,FALSE)</f>
        <v>0</v>
      </c>
      <c r="T61" s="34">
        <f>VLOOKUP(обед6,таб,20,FALSE)</f>
        <v>0</v>
      </c>
      <c r="U61" s="33">
        <f>VLOOKUP(обед7,таб,20,FALSE)</f>
        <v>0</v>
      </c>
      <c r="V61" s="34">
        <f>VLOOKUP(обед8,таб,20,FALSE)</f>
        <v>0</v>
      </c>
      <c r="W61" s="34">
        <f>VLOOKUP(полдник1,таб,20,FALSE)</f>
        <v>0</v>
      </c>
      <c r="X61" s="34">
        <f>VLOOKUP(полдник2,таб,20,FALSE)</f>
        <v>0</v>
      </c>
      <c r="Y61" s="90">
        <f>VLOOKUP(полдник3,таб,20,FALSE)</f>
        <v>0</v>
      </c>
      <c r="Z61" s="35">
        <f>VLOOKUP(ужин1,таб,20,FALSE)</f>
        <v>0</v>
      </c>
      <c r="AA61" s="33">
        <f>VLOOKUP(ужин2,таб,20,FALSE)</f>
        <v>0</v>
      </c>
      <c r="AB61" s="34">
        <f>VLOOKUP(ужин3,таб,20,FALSE)</f>
        <v>0</v>
      </c>
      <c r="AC61" s="33">
        <f>VLOOKUP(ужин4,таб,20,FALSE)</f>
        <v>0</v>
      </c>
      <c r="AD61" s="34"/>
      <c r="AE61" s="33">
        <f>VLOOKUP(ужин6,таб,20,FALSE)</f>
        <v>0</v>
      </c>
      <c r="AF61" s="34">
        <f>VLOOKUP(ужин7,таб,20,FALSE)</f>
        <v>0</v>
      </c>
      <c r="AG61" s="90">
        <f>VLOOKUP(ужин8,таб,20,FALSE)</f>
        <v>0</v>
      </c>
      <c r="AH61" s="112">
        <v>612064</v>
      </c>
      <c r="AI61" s="122">
        <f>AK61/сред</f>
        <v>1.47</v>
      </c>
      <c r="AJ61" s="123"/>
      <c r="AK61" s="121">
        <f>SUM(G62:AG62)</f>
        <v>29.4</v>
      </c>
      <c r="AL61" s="121"/>
      <c r="AM61" s="175">
        <v>4</v>
      </c>
      <c r="AN61" s="115">
        <f>AK61*AM61</f>
        <v>117.6</v>
      </c>
      <c r="AP61">
        <v>60</v>
      </c>
      <c r="AQ61" s="61" t="s">
        <v>369</v>
      </c>
      <c r="AR61" s="61"/>
      <c r="AS61" s="60"/>
      <c r="AT61" s="60"/>
      <c r="AU61" s="60"/>
      <c r="AV61" s="60"/>
      <c r="AW61" s="60">
        <v>21.5</v>
      </c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>
        <v>0.2</v>
      </c>
      <c r="BK61" s="60"/>
      <c r="BL61" s="60">
        <v>27</v>
      </c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>
        <v>100</v>
      </c>
      <c r="DF61" s="60"/>
      <c r="DG61" s="60"/>
      <c r="DH61" s="60"/>
      <c r="DI61" s="60"/>
      <c r="DJ61" s="60"/>
      <c r="DK61" s="60">
        <v>40.8</v>
      </c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ht="34.5" customHeight="1">
      <c r="A62" s="128"/>
      <c r="B62" s="128"/>
      <c r="C62" s="128"/>
      <c r="D62" s="128"/>
      <c r="E62" s="129"/>
      <c r="F62" s="65" t="s">
        <v>96</v>
      </c>
      <c r="G62" s="78">
        <f aca="true" t="shared" si="56" ref="G62:L62">IF(G61=0,"",завтракл*G61)</f>
      </c>
      <c r="H62" s="24">
        <f t="shared" si="56"/>
      </c>
      <c r="I62" s="23">
        <f t="shared" si="56"/>
        <v>8.4</v>
      </c>
      <c r="J62" s="24">
        <f t="shared" si="56"/>
      </c>
      <c r="K62" s="23">
        <f t="shared" si="56"/>
      </c>
      <c r="L62" s="111">
        <f t="shared" si="56"/>
        <v>21</v>
      </c>
      <c r="M62" s="23">
        <f>IF(M61=0,"",завтракл*M61)</f>
      </c>
      <c r="N62" s="86"/>
      <c r="O62" s="25">
        <f aca="true" t="shared" si="57" ref="O62:V62">IF(O61=0,"",завтракл*O61)</f>
      </c>
      <c r="P62" s="23">
        <f t="shared" si="57"/>
      </c>
      <c r="Q62" s="24">
        <f t="shared" si="57"/>
      </c>
      <c r="R62" s="23"/>
      <c r="S62" s="24">
        <f t="shared" si="57"/>
      </c>
      <c r="T62" s="23">
        <f t="shared" si="57"/>
      </c>
      <c r="U62" s="24">
        <f t="shared" si="57"/>
      </c>
      <c r="V62" s="23">
        <f t="shared" si="57"/>
      </c>
      <c r="W62" s="23">
        <f>IF(W61=0,"",полдникл*W61)</f>
      </c>
      <c r="X62" s="23">
        <f>IF(X61=0,"",полдникл*X61)</f>
      </c>
      <c r="Y62" s="86">
        <f>IF(Y61=0,"",полдникл*Y61)</f>
      </c>
      <c r="Z62" s="25">
        <f aca="true" t="shared" si="58" ref="Z62:AG62">IF(Z61=0,"",ужинл*Z61)</f>
      </c>
      <c r="AA62" s="24">
        <f t="shared" si="58"/>
      </c>
      <c r="AB62" s="23">
        <f>IF(AB61=0,"",ужинл*AB61)</f>
      </c>
      <c r="AC62" s="24">
        <f t="shared" si="58"/>
      </c>
      <c r="AD62" s="23"/>
      <c r="AE62" s="24">
        <f t="shared" si="58"/>
      </c>
      <c r="AF62" s="23">
        <f t="shared" si="58"/>
      </c>
      <c r="AG62" s="86">
        <f t="shared" si="58"/>
      </c>
      <c r="AH62" s="113"/>
      <c r="AI62" s="122"/>
      <c r="AJ62" s="123"/>
      <c r="AK62" s="121"/>
      <c r="AL62" s="121"/>
      <c r="AM62" s="176"/>
      <c r="AN62" s="116"/>
      <c r="AP62">
        <v>61</v>
      </c>
      <c r="AQ62" s="60" t="s">
        <v>293</v>
      </c>
      <c r="AR62" s="60"/>
      <c r="AT62" s="60">
        <v>55.6</v>
      </c>
      <c r="BW62">
        <v>1.8</v>
      </c>
      <c r="CI62">
        <v>4.2</v>
      </c>
      <c r="CM62">
        <v>8.3</v>
      </c>
      <c r="DE62" s="60">
        <v>50</v>
      </c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ht="34.5" customHeight="1">
      <c r="A63" s="153" t="s">
        <v>132</v>
      </c>
      <c r="B63" s="153"/>
      <c r="C63" s="153"/>
      <c r="D63" s="153"/>
      <c r="E63" s="154"/>
      <c r="F63" s="68" t="s">
        <v>93</v>
      </c>
      <c r="G63" s="76">
        <f>VLOOKUP(завтрак1,таб,21,FALSE)</f>
        <v>0</v>
      </c>
      <c r="H63" s="36">
        <f>VLOOKUP(завтрак2,таб,21,FALSE)</f>
        <v>0</v>
      </c>
      <c r="I63" s="37">
        <f>VLOOKUP(завтрак3,таб,21,FALSE)</f>
        <v>0</v>
      </c>
      <c r="J63" s="36">
        <f>VLOOKUP(завтрак4,таб,21,FALSE)</f>
        <v>0</v>
      </c>
      <c r="K63" s="37">
        <f>VLOOKUP(завтрак5,таб,21,FALSE)</f>
        <v>0</v>
      </c>
      <c r="L63" s="37"/>
      <c r="M63" s="27">
        <f>VLOOKUP(завтрак7,таб,21,FALSE)</f>
        <v>0</v>
      </c>
      <c r="N63" s="84"/>
      <c r="O63" s="38">
        <f>VLOOKUP(обед1,таб,21,FALSE)</f>
        <v>0</v>
      </c>
      <c r="P63" s="37">
        <f>VLOOKUP(обед2,таб,21,FALSE)</f>
        <v>0</v>
      </c>
      <c r="Q63" s="36">
        <f>VLOOKUP(обед3,таб,21,FALSE)</f>
        <v>0</v>
      </c>
      <c r="R63" s="37"/>
      <c r="S63" s="36">
        <f>VLOOKUP(обед5,таб,21,FALSE)</f>
        <v>0</v>
      </c>
      <c r="T63" s="37">
        <f>VLOOKUP(обед6,таб,21,FALSE)</f>
        <v>0</v>
      </c>
      <c r="U63" s="36">
        <f>VLOOKUP(обед7,таб,21,FALSE)</f>
        <v>0</v>
      </c>
      <c r="V63" s="37">
        <f>VLOOKUP(обед8,таб,21,FALSE)</f>
        <v>0</v>
      </c>
      <c r="W63" s="37">
        <f>VLOOKUP(полдник1,таб,21,FALSE)</f>
        <v>0</v>
      </c>
      <c r="X63" s="37">
        <f>VLOOKUP(полдник2,таб,21,FALSE)</f>
        <v>0</v>
      </c>
      <c r="Y63" s="91">
        <f>VLOOKUP(полдник3,таб,21,FALSE)</f>
        <v>0</v>
      </c>
      <c r="Z63" s="38">
        <f>VLOOKUP(ужин1,таб,21,FALSE)</f>
        <v>0</v>
      </c>
      <c r="AA63" s="36">
        <f>VLOOKUP(ужин2,таб,21,FALSE)</f>
        <v>0</v>
      </c>
      <c r="AB63" s="37">
        <f>VLOOKUP(ужин3,таб,21,FALSE)</f>
        <v>0</v>
      </c>
      <c r="AC63" s="36">
        <f>VLOOKUP(ужин4,таб,21,FALSE)</f>
        <v>0</v>
      </c>
      <c r="AD63" s="37"/>
      <c r="AE63" s="36">
        <f>VLOOKUP(ужин6,таб,21,FALSE)</f>
        <v>0</v>
      </c>
      <c r="AF63" s="37">
        <f>VLOOKUP(ужин7,таб,21,FALSE)</f>
        <v>0</v>
      </c>
      <c r="AG63" s="91">
        <f>VLOOKUP(ужин8,таб,21,FALSE)</f>
        <v>0</v>
      </c>
      <c r="AH63" s="112">
        <v>612112</v>
      </c>
      <c r="AI63" s="122">
        <f>AK63/сред</f>
        <v>0</v>
      </c>
      <c r="AJ63" s="123"/>
      <c r="AK63" s="114">
        <f>SUM(G64:AG64)</f>
        <v>0</v>
      </c>
      <c r="AL63" s="114"/>
      <c r="AM63" s="175">
        <f>IF(AK63=0,0,BK117)</f>
        <v>0</v>
      </c>
      <c r="AN63" s="115">
        <f>AK63*AM63</f>
        <v>0</v>
      </c>
      <c r="AP63">
        <v>62</v>
      </c>
      <c r="AQ63" s="61" t="s">
        <v>370</v>
      </c>
      <c r="AR63" s="61"/>
      <c r="AS63" s="60"/>
      <c r="AT63" s="60">
        <v>20.2</v>
      </c>
      <c r="AU63" s="60"/>
      <c r="AV63" s="60"/>
      <c r="AW63" s="60"/>
      <c r="AX63" s="60"/>
      <c r="AY63" s="60"/>
      <c r="AZ63" s="60">
        <v>3</v>
      </c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>
        <v>35.6</v>
      </c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>
        <v>49.8</v>
      </c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>
        <v>150</v>
      </c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ht="34.5" customHeight="1">
      <c r="A64" s="157"/>
      <c r="B64" s="157"/>
      <c r="C64" s="157"/>
      <c r="D64" s="157"/>
      <c r="E64" s="158"/>
      <c r="F64" s="65" t="s">
        <v>94</v>
      </c>
      <c r="G64" s="77">
        <f aca="true" t="shared" si="59" ref="G64:M64">IF(G63=0,"",завтракл*G63/1000)</f>
      </c>
      <c r="H64" s="48">
        <f t="shared" si="59"/>
      </c>
      <c r="I64" s="44">
        <f t="shared" si="59"/>
      </c>
      <c r="J64" s="48">
        <f t="shared" si="59"/>
      </c>
      <c r="K64" s="44">
        <f t="shared" si="59"/>
      </c>
      <c r="L64" s="44"/>
      <c r="M64" s="45">
        <f t="shared" si="59"/>
      </c>
      <c r="N64" s="85"/>
      <c r="O64" s="49">
        <f aca="true" t="shared" si="60" ref="O64:T64">IF(O63=0,"",обідл*O63/1000)</f>
      </c>
      <c r="P64" s="44">
        <f t="shared" si="60"/>
      </c>
      <c r="Q64" s="48">
        <f t="shared" si="60"/>
      </c>
      <c r="R64" s="44"/>
      <c r="S64" s="48">
        <f t="shared" si="60"/>
      </c>
      <c r="T64" s="44">
        <f t="shared" si="60"/>
      </c>
      <c r="U64" s="48">
        <f>IF(U63=0,"",обідл*U63/1000)</f>
      </c>
      <c r="V64" s="44">
        <f>IF(V63=0,"",обідл*V63/1000)</f>
      </c>
      <c r="W64" s="44">
        <f>IF(W63=0,"",полдникл*W63/1000)</f>
      </c>
      <c r="X64" s="44">
        <f>IF(X63=0,"",полдникл*X63/1000)</f>
      </c>
      <c r="Y64" s="88">
        <f>IF(Y63=0,"",полдникл*Y63/1000)</f>
      </c>
      <c r="Z64" s="49">
        <f aca="true" t="shared" si="61" ref="Z64:AG64">IF(Z63=0,"",ужинл*Z63/1000)</f>
      </c>
      <c r="AA64" s="48">
        <f t="shared" si="61"/>
      </c>
      <c r="AB64" s="44">
        <f t="shared" si="61"/>
      </c>
      <c r="AC64" s="48">
        <f t="shared" si="61"/>
      </c>
      <c r="AD64" s="44"/>
      <c r="AE64" s="48">
        <f t="shared" si="61"/>
      </c>
      <c r="AF64" s="44">
        <f t="shared" si="61"/>
      </c>
      <c r="AG64" s="88">
        <f t="shared" si="61"/>
      </c>
      <c r="AH64" s="113"/>
      <c r="AI64" s="122"/>
      <c r="AJ64" s="123"/>
      <c r="AK64" s="114"/>
      <c r="AL64" s="114"/>
      <c r="AM64" s="176"/>
      <c r="AN64" s="116"/>
      <c r="AP64">
        <v>63</v>
      </c>
      <c r="AQ64" s="61" t="s">
        <v>371</v>
      </c>
      <c r="AR64" s="61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>
        <v>95.6</v>
      </c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>
        <v>86.6</v>
      </c>
      <c r="CH64" s="60"/>
      <c r="CI64" s="60">
        <v>20.1</v>
      </c>
      <c r="CJ64" s="60">
        <v>83.4</v>
      </c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>
        <v>200</v>
      </c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ht="34.5" customHeight="1">
      <c r="A65" s="128" t="s">
        <v>56</v>
      </c>
      <c r="B65" s="128"/>
      <c r="C65" s="128"/>
      <c r="D65" s="128"/>
      <c r="E65" s="129"/>
      <c r="F65" s="68" t="s">
        <v>93</v>
      </c>
      <c r="G65" s="74">
        <f>VLOOKUP(завтрак1,таб,22,FALSE)</f>
        <v>0</v>
      </c>
      <c r="H65" s="33">
        <f>VLOOKUP(завтрак2,таб,22,FALSE)</f>
        <v>0</v>
      </c>
      <c r="I65" s="34">
        <f>VLOOKUP(завтрак3,таб,22,FALSE)</f>
        <v>0</v>
      </c>
      <c r="J65" s="33">
        <f>VLOOKUP(завтрак4,таб,22,FALSE)</f>
        <v>0</v>
      </c>
      <c r="K65" s="34">
        <f>VLOOKUP(завтрак5,таб,22,FALSE)</f>
        <v>0</v>
      </c>
      <c r="L65" s="34"/>
      <c r="M65" s="27">
        <f>VLOOKUP(завтрак7,таб,22,FALSE)</f>
        <v>0</v>
      </c>
      <c r="N65" s="84"/>
      <c r="O65" s="35">
        <f>VLOOKUP(обед1,таб,22,FALSE)</f>
        <v>0</v>
      </c>
      <c r="P65" s="34">
        <f>VLOOKUP(обед2,таб,22,FALSE)</f>
        <v>0</v>
      </c>
      <c r="Q65" s="33">
        <f>VLOOKUP(обед3,таб,22,FALSE)</f>
        <v>0</v>
      </c>
      <c r="R65" s="34"/>
      <c r="S65" s="33">
        <f>VLOOKUP(обед5,таб,22,FALSE)</f>
        <v>0</v>
      </c>
      <c r="T65" s="34">
        <f>VLOOKUP(обед6,таб,22,FALSE)</f>
        <v>0</v>
      </c>
      <c r="U65" s="33">
        <f>VLOOKUP(обед7,таб,22,FALSE)</f>
        <v>0</v>
      </c>
      <c r="V65" s="34">
        <f>VLOOKUP(обед8,таб,22,FALSE)</f>
        <v>0</v>
      </c>
      <c r="W65" s="34">
        <f>VLOOKUP(полдник1,таб,22,FALSE)</f>
        <v>0</v>
      </c>
      <c r="X65" s="34">
        <f>VLOOKUP(полдник2,таб,22,FALSE)</f>
        <v>0</v>
      </c>
      <c r="Y65" s="90">
        <f>VLOOKUP(полдник3,таб,22,FALSE)</f>
        <v>0</v>
      </c>
      <c r="Z65" s="35">
        <f>VLOOKUP(ужин1,таб,22,FALSE)</f>
        <v>0</v>
      </c>
      <c r="AA65" s="33">
        <f>VLOOKUP(ужин2,таб,22,FALSE)</f>
        <v>0</v>
      </c>
      <c r="AB65" s="34">
        <f>VLOOKUP(ужин3,таб,22,FALSE)</f>
        <v>0</v>
      </c>
      <c r="AC65" s="33"/>
      <c r="AD65" s="34"/>
      <c r="AE65" s="33">
        <f>VLOOKUP(ужин6,таб,22,FALSE)</f>
        <v>0</v>
      </c>
      <c r="AF65" s="34">
        <f>VLOOKUP(ужин7,таб,22,FALSE)</f>
        <v>0</v>
      </c>
      <c r="AG65" s="90">
        <f>VLOOKUP(ужин8,таб,22,FALSE)</f>
        <v>0</v>
      </c>
      <c r="AH65" s="112">
        <v>613001</v>
      </c>
      <c r="AI65" s="122">
        <f>AK65/сред</f>
        <v>0</v>
      </c>
      <c r="AJ65" s="123"/>
      <c r="AK65" s="114">
        <f>SUM(G66:AG66)</f>
        <v>0</v>
      </c>
      <c r="AL65" s="114"/>
      <c r="AM65" s="175">
        <f>IF(AK65=0,0,BL117)</f>
        <v>0</v>
      </c>
      <c r="AN65" s="115">
        <f>AK65*AM65</f>
        <v>0</v>
      </c>
      <c r="AP65">
        <v>64</v>
      </c>
      <c r="AQ65" s="61" t="s">
        <v>292</v>
      </c>
      <c r="AR65" s="61"/>
      <c r="AS65" s="60"/>
      <c r="AT65" s="60">
        <v>97.3</v>
      </c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>
        <v>0.1</v>
      </c>
      <c r="BK65" s="60"/>
      <c r="BL65" s="60">
        <v>7.1</v>
      </c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>
        <v>70</v>
      </c>
      <c r="DF65" s="60"/>
      <c r="DG65" s="60"/>
      <c r="DH65" s="60"/>
      <c r="DI65" s="60">
        <v>12.1</v>
      </c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ht="34.5" customHeight="1">
      <c r="A66" s="128"/>
      <c r="B66" s="128"/>
      <c r="C66" s="128"/>
      <c r="D66" s="128"/>
      <c r="E66" s="129"/>
      <c r="F66" s="65" t="s">
        <v>94</v>
      </c>
      <c r="G66" s="75">
        <f aca="true" t="shared" si="62" ref="G66:M66">IF(G65=0,"",завтракл*G65/1000)</f>
      </c>
      <c r="H66" s="46">
        <f t="shared" si="62"/>
      </c>
      <c r="I66" s="45">
        <f t="shared" si="62"/>
      </c>
      <c r="J66" s="46">
        <f t="shared" si="62"/>
      </c>
      <c r="K66" s="45">
        <f t="shared" si="62"/>
      </c>
      <c r="L66" s="45"/>
      <c r="M66" s="45">
        <f t="shared" si="62"/>
      </c>
      <c r="N66" s="85"/>
      <c r="O66" s="47">
        <f aca="true" t="shared" si="63" ref="O66:T66">IF(O65=0,"",обідл*O65/1000)</f>
      </c>
      <c r="P66" s="45">
        <f t="shared" si="63"/>
      </c>
      <c r="Q66" s="46">
        <f t="shared" si="63"/>
      </c>
      <c r="R66" s="45"/>
      <c r="S66" s="46">
        <f t="shared" si="63"/>
      </c>
      <c r="T66" s="45">
        <f t="shared" si="63"/>
      </c>
      <c r="U66" s="46">
        <f>IF(U65=0,"",обідл*U65/1000)</f>
      </c>
      <c r="V66" s="45">
        <f>IF(V65=0,"",обідл*V65/1000)</f>
      </c>
      <c r="W66" s="45">
        <f>IF(W65=0,"",полдникл*W65/1000)</f>
      </c>
      <c r="X66" s="45">
        <f>IF(X65=0,"",полдникл*X65/1000)</f>
      </c>
      <c r="Y66" s="85">
        <f>IF(Y65=0,"",полдникл*Y65/1000)</f>
      </c>
      <c r="Z66" s="47">
        <f aca="true" t="shared" si="64" ref="Z66:AG66">IF(Z65=0,"",ужинл*Z65/1000)</f>
      </c>
      <c r="AA66" s="46">
        <f t="shared" si="64"/>
      </c>
      <c r="AB66" s="45">
        <f t="shared" si="64"/>
      </c>
      <c r="AC66" s="46">
        <f t="shared" si="64"/>
      </c>
      <c r="AD66" s="45"/>
      <c r="AE66" s="46">
        <f t="shared" si="64"/>
      </c>
      <c r="AF66" s="45">
        <f t="shared" si="64"/>
      </c>
      <c r="AG66" s="85">
        <f t="shared" si="64"/>
      </c>
      <c r="AH66" s="113"/>
      <c r="AI66" s="122"/>
      <c r="AJ66" s="123"/>
      <c r="AK66" s="114"/>
      <c r="AL66" s="114"/>
      <c r="AM66" s="176"/>
      <c r="AN66" s="116"/>
      <c r="AP66">
        <v>65</v>
      </c>
      <c r="AQ66" s="61" t="s">
        <v>287</v>
      </c>
      <c r="AR66" s="61"/>
      <c r="AS66" s="60"/>
      <c r="AT66" s="60">
        <v>63</v>
      </c>
      <c r="AU66" s="60"/>
      <c r="AV66" s="60"/>
      <c r="AW66" s="60"/>
      <c r="AX66" s="60"/>
      <c r="AY66" s="60"/>
      <c r="AZ66" s="60"/>
      <c r="BA66" s="60"/>
      <c r="BB66" s="60"/>
      <c r="BC66" s="60">
        <v>4.5</v>
      </c>
      <c r="BD66" s="60"/>
      <c r="BE66" s="60"/>
      <c r="BF66" s="60"/>
      <c r="BG66" s="60"/>
      <c r="BH66" s="60"/>
      <c r="BI66" s="60"/>
      <c r="BJ66" s="60"/>
      <c r="BK66" s="60"/>
      <c r="BL66" s="60">
        <v>1</v>
      </c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>
        <v>45</v>
      </c>
      <c r="CJ66" s="60"/>
      <c r="CK66" s="60"/>
      <c r="CL66" s="60"/>
      <c r="CM66" s="60">
        <v>8.4</v>
      </c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>
        <v>75</v>
      </c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ht="34.5" customHeight="1">
      <c r="A67" s="153" t="s">
        <v>19</v>
      </c>
      <c r="B67" s="153"/>
      <c r="C67" s="153"/>
      <c r="D67" s="153"/>
      <c r="E67" s="154"/>
      <c r="F67" s="68" t="s">
        <v>93</v>
      </c>
      <c r="G67" s="76">
        <f>VLOOKUP(завтрак1,таб,23,FALSE)</f>
        <v>0</v>
      </c>
      <c r="H67" s="36">
        <f>VLOOKUP(завтрак2,таб,23,FALSE)</f>
        <v>0</v>
      </c>
      <c r="I67" s="37">
        <f>VLOOKUP(завтрак3,таб,23,FALSE)</f>
        <v>0</v>
      </c>
      <c r="J67" s="36">
        <f>VLOOKUP(завтрак4,таб,23,FALSE)</f>
        <v>0</v>
      </c>
      <c r="K67" s="37">
        <f>VLOOKUP(завтрак5,таб,23,FALSE)</f>
        <v>0</v>
      </c>
      <c r="L67" s="37"/>
      <c r="M67" s="27">
        <f>VLOOKUP(завтрак7,таб,23,FALSE)</f>
        <v>0</v>
      </c>
      <c r="N67" s="84"/>
      <c r="O67" s="38">
        <f>VLOOKUP(обед1,таб,23,FALSE)</f>
        <v>0</v>
      </c>
      <c r="P67" s="37">
        <f>VLOOKUP(обед2,таб,23,FALSE)</f>
        <v>0</v>
      </c>
      <c r="Q67" s="36">
        <f>VLOOKUP(обед3,таб,23,FALSE)</f>
        <v>0</v>
      </c>
      <c r="R67" s="37"/>
      <c r="S67" s="36">
        <f>VLOOKUP(обед5,таб,23,FALSE)</f>
        <v>0</v>
      </c>
      <c r="T67" s="37">
        <f>VLOOKUP(обед6,таб,23,FALSE)</f>
        <v>0</v>
      </c>
      <c r="U67" s="36">
        <f>VLOOKUP(обед7,таб,23,FALSE)</f>
        <v>0</v>
      </c>
      <c r="V67" s="37">
        <f>VLOOKUP(обед8,таб,23,FALSE)</f>
        <v>0</v>
      </c>
      <c r="W67" s="37">
        <f>VLOOKUP(полдник1,таб,23,FALSE)</f>
        <v>0</v>
      </c>
      <c r="X67" s="37">
        <f>VLOOKUP(полдник2,таб,23,FALSE)</f>
        <v>0</v>
      </c>
      <c r="Y67" s="91">
        <f>VLOOKUP(полдник3,таб,23,FALSE)</f>
        <v>0</v>
      </c>
      <c r="Z67" s="38">
        <f>VLOOKUP(ужин1,таб,23,FALSE)</f>
        <v>0</v>
      </c>
      <c r="AA67" s="36">
        <f>VLOOKUP(ужин2,таб,23,FALSE)</f>
        <v>1.5</v>
      </c>
      <c r="AB67" s="37">
        <f>VLOOKUP(ужин3,таб,23,FALSE)</f>
        <v>0</v>
      </c>
      <c r="AC67" s="36">
        <f>VLOOKUP(ужин4,таб,23,FALSE)</f>
        <v>0</v>
      </c>
      <c r="AD67" s="37"/>
      <c r="AE67" s="36">
        <f>VLOOKUP(ужин6,таб,23,FALSE)</f>
        <v>0</v>
      </c>
      <c r="AF67" s="37">
        <f>VLOOKUP(ужин7,таб,23,FALSE)</f>
        <v>0</v>
      </c>
      <c r="AG67" s="91">
        <f>VLOOKUP(ужин8,таб,23,FALSE)</f>
        <v>0</v>
      </c>
      <c r="AH67" s="112">
        <v>613016</v>
      </c>
      <c r="AI67" s="122">
        <f>AK67/сред</f>
        <v>0.00135</v>
      </c>
      <c r="AJ67" s="123"/>
      <c r="AK67" s="114">
        <f>SUM(G68:AG68)</f>
        <v>0.027</v>
      </c>
      <c r="AL67" s="114"/>
      <c r="AM67" s="175">
        <v>75</v>
      </c>
      <c r="AN67" s="115">
        <f>AK67*AM67</f>
        <v>2.025</v>
      </c>
      <c r="AP67">
        <v>66</v>
      </c>
      <c r="AQ67" s="61" t="s">
        <v>372</v>
      </c>
      <c r="AR67" s="61"/>
      <c r="AS67" s="60">
        <v>100.4</v>
      </c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>
        <v>0.1</v>
      </c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>
        <v>8.9</v>
      </c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>
        <v>75</v>
      </c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ht="34.5" customHeight="1">
      <c r="A68" s="157"/>
      <c r="B68" s="157"/>
      <c r="C68" s="157"/>
      <c r="D68" s="157"/>
      <c r="E68" s="158"/>
      <c r="F68" s="65" t="s">
        <v>94</v>
      </c>
      <c r="G68" s="77">
        <f aca="true" t="shared" si="65" ref="G68:M68">IF(G67=0,"",завтракл*G67/1000)</f>
      </c>
      <c r="H68" s="48">
        <f t="shared" si="65"/>
      </c>
      <c r="I68" s="44">
        <f t="shared" si="65"/>
      </c>
      <c r="J68" s="48">
        <f t="shared" si="65"/>
      </c>
      <c r="K68" s="44">
        <f t="shared" si="65"/>
      </c>
      <c r="L68" s="44"/>
      <c r="M68" s="45">
        <f t="shared" si="65"/>
      </c>
      <c r="N68" s="85"/>
      <c r="O68" s="49">
        <f aca="true" t="shared" si="66" ref="O68:T68">IF(O67=0,"",обідл*O67/1000)</f>
      </c>
      <c r="P68" s="44">
        <f t="shared" si="66"/>
      </c>
      <c r="Q68" s="48">
        <f t="shared" si="66"/>
      </c>
      <c r="R68" s="44"/>
      <c r="S68" s="48">
        <f t="shared" si="66"/>
      </c>
      <c r="T68" s="44">
        <f t="shared" si="66"/>
      </c>
      <c r="U68" s="48">
        <f>IF(U67=0,"",обідл*U67/1000)</f>
      </c>
      <c r="V68" s="44">
        <f>IF(V67=0,"",обідл*V67/1000)</f>
      </c>
      <c r="W68" s="44">
        <f>IF(W67=0,"",полдникл*W67/1000)</f>
      </c>
      <c r="X68" s="44">
        <f>IF(X67=0,"",полдникл*X67/1000)</f>
      </c>
      <c r="Y68" s="88">
        <f>IF(Y67=0,"",полдникл*Y67/1000)</f>
      </c>
      <c r="Z68" s="49">
        <f aca="true" t="shared" si="67" ref="Z68:AG68">IF(Z67=0,"",ужинл*Z67/1000)</f>
      </c>
      <c r="AA68" s="48">
        <f t="shared" si="67"/>
        <v>0.027</v>
      </c>
      <c r="AB68" s="44">
        <f t="shared" si="67"/>
      </c>
      <c r="AC68" s="48">
        <f t="shared" si="67"/>
      </c>
      <c r="AD68" s="44"/>
      <c r="AE68" s="48">
        <f t="shared" si="67"/>
      </c>
      <c r="AF68" s="44">
        <f t="shared" si="67"/>
      </c>
      <c r="AG68" s="88">
        <f t="shared" si="67"/>
      </c>
      <c r="AH68" s="113"/>
      <c r="AI68" s="122"/>
      <c r="AJ68" s="123"/>
      <c r="AK68" s="114"/>
      <c r="AL68" s="114"/>
      <c r="AM68" s="176"/>
      <c r="AN68" s="116"/>
      <c r="AP68">
        <v>67</v>
      </c>
      <c r="AQ68" s="61" t="s">
        <v>373</v>
      </c>
      <c r="AR68" s="61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>
        <v>0.1</v>
      </c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>
        <v>8.9</v>
      </c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>
        <v>75</v>
      </c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ht="31.5" customHeight="1">
      <c r="A69" s="128" t="s">
        <v>20</v>
      </c>
      <c r="B69" s="128"/>
      <c r="C69" s="128"/>
      <c r="D69" s="128"/>
      <c r="E69" s="129"/>
      <c r="F69" s="68" t="s">
        <v>93</v>
      </c>
      <c r="G69" s="74">
        <f>VLOOKUP(завтрак1,таб,24,FALSE)</f>
        <v>0</v>
      </c>
      <c r="H69" s="33">
        <f>VLOOKUP(завтрак2,таб,24,FALSE)</f>
        <v>0</v>
      </c>
      <c r="I69" s="34">
        <f>VLOOKUP(завтрак3,таб,24,FALSE)</f>
        <v>0</v>
      </c>
      <c r="J69" s="33">
        <f>VLOOKUP(завтрак4,таб,24,FALSE)</f>
        <v>0</v>
      </c>
      <c r="K69" s="34">
        <f>VLOOKUP(завтрак5,таб,24,FALSE)</f>
        <v>0</v>
      </c>
      <c r="L69" s="34"/>
      <c r="M69" s="27">
        <f>VLOOKUP(завтрак7,таб,24,FALSE)</f>
        <v>0</v>
      </c>
      <c r="N69" s="84"/>
      <c r="O69" s="35">
        <f>VLOOKUP(обед1,таб,24,FALSE)</f>
        <v>0</v>
      </c>
      <c r="P69" s="34">
        <f>VLOOKUP(обед2,таб,24,FALSE)</f>
        <v>0</v>
      </c>
      <c r="Q69" s="33">
        <v>33.8</v>
      </c>
      <c r="R69" s="34"/>
      <c r="S69" s="33">
        <f>VLOOKUP(обед5,таб,24,FALSE)</f>
        <v>0</v>
      </c>
      <c r="T69" s="34">
        <f>VLOOKUP(обед6,таб,24,FALSE)</f>
        <v>0</v>
      </c>
      <c r="U69" s="33">
        <f>VLOOKUP(обед7,таб,24,FALSE)</f>
        <v>0</v>
      </c>
      <c r="V69" s="34">
        <f>VLOOKUP(обед8,таб,24,FALSE)</f>
        <v>0</v>
      </c>
      <c r="W69" s="34">
        <f>VLOOKUP(полдник1,таб,24,FALSE)</f>
        <v>0</v>
      </c>
      <c r="X69" s="34">
        <f>VLOOKUP(полдник2,таб,24,FALSE)</f>
        <v>0</v>
      </c>
      <c r="Y69" s="90">
        <f>VLOOKUP(полдник3,таб,24,FALSE)</f>
        <v>0</v>
      </c>
      <c r="Z69" s="35">
        <f>VLOOKUP(ужин1,таб,24,FALSE)</f>
        <v>0</v>
      </c>
      <c r="AA69" s="33">
        <f>VLOOKUP(ужин2,таб,24,FALSE)</f>
        <v>0</v>
      </c>
      <c r="AB69" s="34">
        <f>VLOOKUP(ужин3,таб,24,FALSE)</f>
        <v>0</v>
      </c>
      <c r="AC69" s="33">
        <f>VLOOKUP(ужин4,таб,24,FALSE)</f>
        <v>0</v>
      </c>
      <c r="AD69" s="34"/>
      <c r="AE69" s="33">
        <f>VLOOKUP(ужин6,таб,24,FALSE)</f>
        <v>0</v>
      </c>
      <c r="AF69" s="34">
        <f>VLOOKUP(ужин7,таб,24,FALSE)</f>
        <v>0</v>
      </c>
      <c r="AG69" s="90">
        <f>VLOOKUP(ужин8,таб,24,FALSE)</f>
        <v>0</v>
      </c>
      <c r="AH69" s="112">
        <v>613029</v>
      </c>
      <c r="AI69" s="122">
        <f>AK69/сред</f>
        <v>0.03549</v>
      </c>
      <c r="AJ69" s="123"/>
      <c r="AK69" s="114">
        <f>SUM(G70:AG70)</f>
        <v>0.7098</v>
      </c>
      <c r="AL69" s="114"/>
      <c r="AM69" s="175">
        <v>51.4</v>
      </c>
      <c r="AN69" s="115">
        <f>AK69*AM69</f>
        <v>36.48372</v>
      </c>
      <c r="AP69">
        <v>68</v>
      </c>
      <c r="AQ69" s="61" t="s">
        <v>374</v>
      </c>
      <c r="AR69" s="61"/>
      <c r="AS69" s="60"/>
      <c r="AT69" s="60"/>
      <c r="AU69" s="60"/>
      <c r="AV69" s="60"/>
      <c r="AW69" s="60"/>
      <c r="AX69" s="60">
        <v>100.7</v>
      </c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>
        <v>0.1</v>
      </c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>
        <v>17.9</v>
      </c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>
        <v>75</v>
      </c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ht="31.5" customHeight="1">
      <c r="A70" s="128"/>
      <c r="B70" s="128"/>
      <c r="C70" s="128"/>
      <c r="D70" s="128"/>
      <c r="E70" s="129"/>
      <c r="F70" s="65" t="s">
        <v>94</v>
      </c>
      <c r="G70" s="75">
        <f aca="true" t="shared" si="68" ref="G70:M70">IF(G69=0,"",завтракл*G69/1000)</f>
      </c>
      <c r="H70" s="46">
        <f t="shared" si="68"/>
      </c>
      <c r="I70" s="45">
        <f t="shared" si="68"/>
      </c>
      <c r="J70" s="46">
        <f t="shared" si="68"/>
      </c>
      <c r="K70" s="45">
        <f t="shared" si="68"/>
      </c>
      <c r="L70" s="45"/>
      <c r="M70" s="45">
        <f t="shared" si="68"/>
      </c>
      <c r="N70" s="85"/>
      <c r="O70" s="47">
        <f aca="true" t="shared" si="69" ref="O70:T70">IF(O69=0,"",обідл*O69/1000)</f>
      </c>
      <c r="P70" s="45">
        <f t="shared" si="69"/>
      </c>
      <c r="Q70" s="46">
        <f t="shared" si="69"/>
        <v>0.7098</v>
      </c>
      <c r="R70" s="45"/>
      <c r="S70" s="46">
        <f t="shared" si="69"/>
      </c>
      <c r="T70" s="45">
        <f t="shared" si="69"/>
      </c>
      <c r="U70" s="46">
        <f>IF(U69=0,"",обідл*U69/1000)</f>
      </c>
      <c r="V70" s="45">
        <f>IF(V69=0,"",обідл*V69/1000)</f>
      </c>
      <c r="W70" s="45">
        <f>IF(W69=0,"",полдникл*W69/1000)</f>
      </c>
      <c r="X70" s="45">
        <f>IF(X69=0,"",полдникл*X69/1000)</f>
      </c>
      <c r="Y70" s="85">
        <f>IF(Y69=0,"",полдникл*Y69/1000)</f>
      </c>
      <c r="Z70" s="47">
        <f aca="true" t="shared" si="70" ref="Z70:AG70">IF(Z69=0,"",ужинл*Z69/1000)</f>
      </c>
      <c r="AA70" s="46">
        <f t="shared" si="70"/>
      </c>
      <c r="AB70" s="45">
        <f t="shared" si="70"/>
      </c>
      <c r="AC70" s="46">
        <f t="shared" si="70"/>
      </c>
      <c r="AD70" s="45"/>
      <c r="AE70" s="46">
        <f t="shared" si="70"/>
      </c>
      <c r="AF70" s="45">
        <f t="shared" si="70"/>
      </c>
      <c r="AG70" s="85">
        <f t="shared" si="70"/>
      </c>
      <c r="AH70" s="113"/>
      <c r="AI70" s="122"/>
      <c r="AJ70" s="123"/>
      <c r="AK70" s="114"/>
      <c r="AL70" s="114"/>
      <c r="AM70" s="176"/>
      <c r="AN70" s="116"/>
      <c r="AP70">
        <v>69</v>
      </c>
      <c r="AQ70" s="61" t="s">
        <v>375</v>
      </c>
      <c r="AR70" s="61"/>
      <c r="AS70" s="60"/>
      <c r="AT70" s="60"/>
      <c r="AU70" s="60"/>
      <c r="AV70" s="60"/>
      <c r="AW70" s="60"/>
      <c r="AX70" s="60"/>
      <c r="AY70" s="60"/>
      <c r="AZ70" s="60">
        <v>3.3</v>
      </c>
      <c r="BA70" s="60"/>
      <c r="BB70" s="60"/>
      <c r="BC70" s="60">
        <v>6.7</v>
      </c>
      <c r="BD70" s="60"/>
      <c r="BE70" s="60"/>
      <c r="BF70" s="60"/>
      <c r="BG70" s="60"/>
      <c r="BH70" s="60"/>
      <c r="BI70" s="60"/>
      <c r="BJ70" s="60">
        <v>0.1</v>
      </c>
      <c r="BK70" s="60"/>
      <c r="BL70" s="60">
        <v>20</v>
      </c>
      <c r="BM70" s="60"/>
      <c r="BN70" s="60"/>
      <c r="BO70" s="60">
        <v>12</v>
      </c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>
        <v>133.3</v>
      </c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>
        <v>100</v>
      </c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ht="31.5" customHeight="1">
      <c r="A71" s="153" t="s">
        <v>21</v>
      </c>
      <c r="B71" s="153"/>
      <c r="C71" s="153"/>
      <c r="D71" s="153"/>
      <c r="E71" s="154"/>
      <c r="F71" s="68" t="s">
        <v>93</v>
      </c>
      <c r="G71" s="76">
        <f>VLOOKUP(завтрак1,таб,25,FALSE)</f>
        <v>0</v>
      </c>
      <c r="H71" s="36">
        <f>VLOOKUP(завтрак2,таб,25,FALSE)</f>
        <v>0</v>
      </c>
      <c r="I71" s="37">
        <f>VLOOKUP(завтрак3,таб,25,FALSE)</f>
        <v>5</v>
      </c>
      <c r="J71" s="36">
        <f>VLOOKUP(завтрак4,таб,25,FALSE)</f>
        <v>0</v>
      </c>
      <c r="K71" s="37">
        <f>VLOOKUP(завтрак5,таб,25,FALSE)</f>
        <v>0</v>
      </c>
      <c r="L71" s="37"/>
      <c r="M71" s="27">
        <f>VLOOKUP(завтрак7,таб,25,FALSE)</f>
        <v>0</v>
      </c>
      <c r="N71" s="84"/>
      <c r="O71" s="38">
        <f>VLOOKUP(обед1,таб,25,FALSE)</f>
        <v>0</v>
      </c>
      <c r="P71" s="37">
        <f>VLOOKUP(обед2,таб,25,FALSE)</f>
        <v>0</v>
      </c>
      <c r="Q71" s="36">
        <f>VLOOKUP(обед3,таб,25,FALSE)</f>
        <v>0</v>
      </c>
      <c r="R71" s="37"/>
      <c r="S71" s="36">
        <f>VLOOKUP(обед5,таб,25,FALSE)</f>
        <v>0</v>
      </c>
      <c r="T71" s="37">
        <f>VLOOKUP(обед6,таб,25,FALSE)</f>
        <v>0</v>
      </c>
      <c r="U71" s="36">
        <f>VLOOKUP(обед7,таб,25,FALSE)</f>
        <v>0</v>
      </c>
      <c r="V71" s="37">
        <f>VLOOKUP(обед8,таб,25,FALSE)</f>
        <v>0</v>
      </c>
      <c r="W71" s="37">
        <f>VLOOKUP(полдник1,таб,25,FALSE)</f>
        <v>6</v>
      </c>
      <c r="X71" s="37">
        <f>VLOOKUP(полдник2,таб,25,FALSE)</f>
        <v>0</v>
      </c>
      <c r="Y71" s="91">
        <f>VLOOKUP(полдник3,таб,25,FALSE)</f>
        <v>0</v>
      </c>
      <c r="Z71" s="38">
        <f>VLOOKUP(ужин1,таб,25,FALSE)</f>
        <v>0</v>
      </c>
      <c r="AA71" s="36">
        <f>VLOOKUP(ужин2,таб,25,FALSE)</f>
        <v>0</v>
      </c>
      <c r="AB71" s="37">
        <f>VLOOKUP(ужин3,таб,25,FALSE)</f>
        <v>0</v>
      </c>
      <c r="AC71" s="36">
        <f>VLOOKUP(ужин4,таб,25,FALSE)</f>
        <v>0</v>
      </c>
      <c r="AD71" s="37"/>
      <c r="AE71" s="36">
        <f>VLOOKUP(ужин6,таб,25,FALSE)</f>
        <v>0</v>
      </c>
      <c r="AF71" s="37">
        <f>VLOOKUP(ужин7,таб,25,FALSE)</f>
        <v>0</v>
      </c>
      <c r="AG71" s="91">
        <f>VLOOKUP(ужин8,таб,25,FALSE)</f>
        <v>0</v>
      </c>
      <c r="AH71" s="112">
        <v>613036</v>
      </c>
      <c r="AI71" s="122">
        <f>AK71/сред</f>
        <v>0.01125</v>
      </c>
      <c r="AJ71" s="123"/>
      <c r="AK71" s="114">
        <f>SUM(G72:AG72)</f>
        <v>0.22499999999999998</v>
      </c>
      <c r="AL71" s="114"/>
      <c r="AM71" s="175">
        <v>21.3</v>
      </c>
      <c r="AN71" s="115">
        <f>AK71*AM71</f>
        <v>4.7924999999999995</v>
      </c>
      <c r="AP71">
        <v>70</v>
      </c>
      <c r="AQ71" s="61" t="s">
        <v>376</v>
      </c>
      <c r="AR71" s="61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>
        <v>1.3</v>
      </c>
      <c r="BD71" s="60"/>
      <c r="BE71" s="60"/>
      <c r="BF71" s="60"/>
      <c r="BG71" s="60"/>
      <c r="BH71" s="60"/>
      <c r="BI71" s="60"/>
      <c r="BJ71" s="60">
        <v>0.1</v>
      </c>
      <c r="BK71" s="60"/>
      <c r="BL71" s="60">
        <v>13.3</v>
      </c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>
        <v>86.6</v>
      </c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>
        <v>100</v>
      </c>
      <c r="DF71" s="60"/>
      <c r="DG71" s="60"/>
      <c r="DH71" s="60"/>
      <c r="DI71" s="60">
        <v>6.7</v>
      </c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ht="31.5" customHeight="1">
      <c r="A72" s="157"/>
      <c r="B72" s="157"/>
      <c r="C72" s="157"/>
      <c r="D72" s="157"/>
      <c r="E72" s="158"/>
      <c r="F72" s="65" t="s">
        <v>94</v>
      </c>
      <c r="G72" s="77">
        <f aca="true" t="shared" si="71" ref="G72:M72">IF(G71=0,"",завтракл*G71/1000)</f>
      </c>
      <c r="H72" s="48">
        <f t="shared" si="71"/>
      </c>
      <c r="I72" s="44">
        <f t="shared" si="71"/>
        <v>0.105</v>
      </c>
      <c r="J72" s="48">
        <f t="shared" si="71"/>
      </c>
      <c r="K72" s="44">
        <f t="shared" si="71"/>
      </c>
      <c r="L72" s="44"/>
      <c r="M72" s="45">
        <f t="shared" si="71"/>
      </c>
      <c r="N72" s="85"/>
      <c r="O72" s="49">
        <f aca="true" t="shared" si="72" ref="O72:T72">IF(O71=0,"",обідл*O71/1000)</f>
      </c>
      <c r="P72" s="44">
        <f t="shared" si="72"/>
      </c>
      <c r="Q72" s="48">
        <f t="shared" si="72"/>
      </c>
      <c r="R72" s="44"/>
      <c r="S72" s="48">
        <f t="shared" si="72"/>
      </c>
      <c r="T72" s="44">
        <f t="shared" si="72"/>
      </c>
      <c r="U72" s="48">
        <f>IF(U71=0,"",обідл*U71/1000)</f>
      </c>
      <c r="V72" s="44">
        <f>IF(V71=0,"",обідл*V71/1000)</f>
      </c>
      <c r="W72" s="44">
        <f>IF(W71=0,"",полдникл*W71/1000)</f>
        <v>0.12</v>
      </c>
      <c r="X72" s="44">
        <f>IF(X71=0,"",полдникл*X71/1000)</f>
      </c>
      <c r="Y72" s="88">
        <f>IF(Y71=0,"",полдникл*Y71/1000)</f>
      </c>
      <c r="Z72" s="49">
        <f aca="true" t="shared" si="73" ref="Z72:AG72">IF(Z71=0,"",ужинл*Z71/1000)</f>
      </c>
      <c r="AA72" s="48">
        <f t="shared" si="73"/>
      </c>
      <c r="AB72" s="44">
        <f t="shared" si="73"/>
      </c>
      <c r="AC72" s="48">
        <f t="shared" si="73"/>
      </c>
      <c r="AD72" s="44"/>
      <c r="AE72" s="48">
        <f t="shared" si="73"/>
      </c>
      <c r="AF72" s="44">
        <f t="shared" si="73"/>
      </c>
      <c r="AG72" s="88">
        <f t="shared" si="73"/>
      </c>
      <c r="AH72" s="113"/>
      <c r="AI72" s="122"/>
      <c r="AJ72" s="123"/>
      <c r="AK72" s="114"/>
      <c r="AL72" s="114"/>
      <c r="AM72" s="176"/>
      <c r="AN72" s="116"/>
      <c r="AP72">
        <v>71</v>
      </c>
      <c r="AQ72" s="61" t="s">
        <v>377</v>
      </c>
      <c r="AR72" s="61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>
        <v>2</v>
      </c>
      <c r="BD72" s="60"/>
      <c r="BE72" s="60"/>
      <c r="BF72" s="60"/>
      <c r="BG72" s="60">
        <v>3</v>
      </c>
      <c r="BH72" s="60">
        <v>30.7</v>
      </c>
      <c r="BI72" s="60"/>
      <c r="BJ72" s="60">
        <v>0.1</v>
      </c>
      <c r="BK72" s="60"/>
      <c r="BL72" s="60"/>
      <c r="BM72" s="60"/>
      <c r="BN72" s="60">
        <v>32</v>
      </c>
      <c r="BO72" s="60"/>
      <c r="BP72" s="60"/>
      <c r="BQ72" s="60"/>
      <c r="BR72" s="60"/>
      <c r="BS72" s="60"/>
      <c r="BT72" s="60"/>
      <c r="BU72" s="60"/>
      <c r="BV72" s="60"/>
      <c r="BW72" s="60">
        <v>4</v>
      </c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>
        <v>100</v>
      </c>
      <c r="DF72" s="60"/>
      <c r="DG72" s="60"/>
      <c r="DH72" s="60"/>
      <c r="DI72" s="60">
        <v>2</v>
      </c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ht="31.5" customHeight="1">
      <c r="A73" s="128" t="s">
        <v>25</v>
      </c>
      <c r="B73" s="128"/>
      <c r="C73" s="128"/>
      <c r="D73" s="128"/>
      <c r="E73" s="129"/>
      <c r="F73" s="68" t="s">
        <v>93</v>
      </c>
      <c r="G73" s="74">
        <f>VLOOKUP(завтрак1,таб,26,FALSE)</f>
        <v>0</v>
      </c>
      <c r="H73" s="33">
        <f>VLOOKUP(завтрак2,таб,26,FALSE)</f>
        <v>0</v>
      </c>
      <c r="I73" s="34">
        <f>VLOOKUP(завтрак3,таб,26,FALSE)</f>
        <v>0</v>
      </c>
      <c r="J73" s="33">
        <f>VLOOKUP(завтрак4,таб,26,FALSE)</f>
        <v>0</v>
      </c>
      <c r="K73" s="34">
        <f>VLOOKUP(завтрак5,таб,26,FALSE)</f>
        <v>0</v>
      </c>
      <c r="L73" s="34"/>
      <c r="M73" s="27">
        <f>VLOOKUP(завтрак7,таб,26,FALSE)</f>
        <v>0</v>
      </c>
      <c r="N73" s="84"/>
      <c r="O73" s="35">
        <f>VLOOKUP(обед1,таб,26,FALSE)</f>
        <v>0</v>
      </c>
      <c r="P73" s="34">
        <f>VLOOKUP(обед2,таб,26,FALSE)</f>
        <v>0</v>
      </c>
      <c r="Q73" s="33">
        <f>VLOOKUP(обед3,таб,26,FALSE)</f>
        <v>0</v>
      </c>
      <c r="R73" s="34"/>
      <c r="S73" s="33">
        <f>VLOOKUP(обед5,таб,26,FALSE)</f>
        <v>0</v>
      </c>
      <c r="T73" s="34">
        <f>VLOOKUP(обед6,таб,26,FALSE)</f>
        <v>0</v>
      </c>
      <c r="U73" s="33">
        <f>VLOOKUP(обед7,таб,26,FALSE)</f>
        <v>0</v>
      </c>
      <c r="V73" s="34">
        <f>VLOOKUP(обед8,таб,26,FALSE)</f>
        <v>0</v>
      </c>
      <c r="W73" s="34">
        <f>VLOOKUP(полдник1,таб,26,FALSE)</f>
        <v>0</v>
      </c>
      <c r="X73" s="34">
        <f>VLOOKUP(полдник2,таб,26,FALSE)</f>
        <v>0</v>
      </c>
      <c r="Y73" s="90">
        <f>VLOOKUP(полдник3,таб,26,FALSE)</f>
        <v>0</v>
      </c>
      <c r="Z73" s="35">
        <f>VLOOKUP(ужин1,таб,26,FALSE)</f>
        <v>0</v>
      </c>
      <c r="AA73" s="33">
        <f>VLOOKUP(ужин2,таб,26,FALSE)</f>
        <v>0</v>
      </c>
      <c r="AB73" s="34">
        <f>VLOOKUP(ужин3,таб,26,FALSE)</f>
        <v>0</v>
      </c>
      <c r="AC73" s="33">
        <f>VLOOKUP(ужин4,таб,26,FALSE)</f>
        <v>0</v>
      </c>
      <c r="AD73" s="34"/>
      <c r="AE73" s="33">
        <f>VLOOKUP(ужин6,таб,26,FALSE)</f>
        <v>0</v>
      </c>
      <c r="AF73" s="34">
        <f>VLOOKUP(ужин7,таб,26,FALSE)</f>
        <v>0</v>
      </c>
      <c r="AG73" s="90">
        <f>VLOOKUP(ужин8,таб,26,FALSE)</f>
        <v>0</v>
      </c>
      <c r="AH73" s="112"/>
      <c r="AI73" s="122">
        <f>AK73/сред</f>
        <v>0</v>
      </c>
      <c r="AJ73" s="123"/>
      <c r="AK73" s="114">
        <f>SUM(G74:AG74)</f>
        <v>0</v>
      </c>
      <c r="AL73" s="114"/>
      <c r="AM73" s="175">
        <f>IF(AK73=0,0,BP117)</f>
        <v>0</v>
      </c>
      <c r="AN73" s="115">
        <f>AK73*AM73</f>
        <v>0</v>
      </c>
      <c r="AP73">
        <v>72</v>
      </c>
      <c r="AQ73" s="60" t="s">
        <v>305</v>
      </c>
      <c r="AR73" s="60"/>
      <c r="BC73">
        <v>3</v>
      </c>
      <c r="BG73">
        <v>3</v>
      </c>
      <c r="BJ73">
        <v>0.1</v>
      </c>
      <c r="BQ73">
        <v>41</v>
      </c>
      <c r="BW73">
        <v>6</v>
      </c>
      <c r="CT73">
        <v>60</v>
      </c>
      <c r="DE73" s="60">
        <v>150</v>
      </c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ht="31.5" customHeight="1">
      <c r="A74" s="128"/>
      <c r="B74" s="128"/>
      <c r="C74" s="128"/>
      <c r="D74" s="128"/>
      <c r="E74" s="129"/>
      <c r="F74" s="65" t="s">
        <v>94</v>
      </c>
      <c r="G74" s="75">
        <f aca="true" t="shared" si="74" ref="G74:M74">IF(G73=0,"",завтракл*G73/1000)</f>
      </c>
      <c r="H74" s="46">
        <f t="shared" si="74"/>
      </c>
      <c r="I74" s="45">
        <f t="shared" si="74"/>
      </c>
      <c r="J74" s="46">
        <f t="shared" si="74"/>
      </c>
      <c r="K74" s="45">
        <f t="shared" si="74"/>
      </c>
      <c r="L74" s="45"/>
      <c r="M74" s="45">
        <f t="shared" si="74"/>
      </c>
      <c r="N74" s="85"/>
      <c r="O74" s="47">
        <f aca="true" t="shared" si="75" ref="O74:T74">IF(O73=0,"",обідл*O73/1000)</f>
      </c>
      <c r="P74" s="45">
        <f t="shared" si="75"/>
      </c>
      <c r="Q74" s="46">
        <f t="shared" si="75"/>
      </c>
      <c r="R74" s="45"/>
      <c r="S74" s="46">
        <f t="shared" si="75"/>
      </c>
      <c r="T74" s="45">
        <f t="shared" si="75"/>
      </c>
      <c r="U74" s="46">
        <f>IF(U73=0,"",обідл*U73/1000)</f>
      </c>
      <c r="V74" s="45">
        <f>IF(V73=0,"",обідл*V73/1000)</f>
      </c>
      <c r="W74" s="45">
        <f>IF(W73=0,"",полдникл*W73/1000)</f>
      </c>
      <c r="X74" s="45">
        <f>IF(X73=0,"",полдникл*X73/1000)</f>
      </c>
      <c r="Y74" s="85">
        <f>IF(Y73=0,"",полдникл*Y73/1000)</f>
      </c>
      <c r="Z74" s="47">
        <f aca="true" t="shared" si="76" ref="Z74:AG74">IF(Z73=0,"",ужинл*Z73/1000)</f>
      </c>
      <c r="AA74" s="46">
        <f t="shared" si="76"/>
      </c>
      <c r="AB74" s="45">
        <f t="shared" si="76"/>
      </c>
      <c r="AC74" s="46">
        <f t="shared" si="76"/>
      </c>
      <c r="AD74" s="45"/>
      <c r="AE74" s="46">
        <f t="shared" si="76"/>
      </c>
      <c r="AF74" s="45">
        <f t="shared" si="76"/>
      </c>
      <c r="AG74" s="85">
        <f t="shared" si="76"/>
      </c>
      <c r="AH74" s="113"/>
      <c r="AI74" s="122"/>
      <c r="AJ74" s="123"/>
      <c r="AK74" s="114"/>
      <c r="AL74" s="114"/>
      <c r="AM74" s="176"/>
      <c r="AN74" s="116"/>
      <c r="AP74">
        <v>73</v>
      </c>
      <c r="AQ74" s="61" t="s">
        <v>378</v>
      </c>
      <c r="AR74" s="61"/>
      <c r="AS74" s="60"/>
      <c r="AT74" s="60"/>
      <c r="AU74" s="60"/>
      <c r="AV74" s="60"/>
      <c r="AW74" s="60"/>
      <c r="AX74" s="60">
        <v>118</v>
      </c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>
        <v>9.2</v>
      </c>
      <c r="CJ74" s="60">
        <v>11.1</v>
      </c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>
        <v>75</v>
      </c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ht="31.5" customHeight="1">
      <c r="A75" s="128" t="s">
        <v>59</v>
      </c>
      <c r="B75" s="128"/>
      <c r="C75" s="128"/>
      <c r="D75" s="128"/>
      <c r="E75" s="129"/>
      <c r="F75" s="68" t="s">
        <v>93</v>
      </c>
      <c r="G75" s="74">
        <f>VLOOKUP(завтрак1,таб,73,FALSE)</f>
        <v>0</v>
      </c>
      <c r="H75" s="33">
        <f>VLOOKUP(завтрак2,таб,73,FALSE)</f>
        <v>0</v>
      </c>
      <c r="I75" s="34">
        <f>VLOOKUP(завтрак3,таб,73,FALSE)</f>
        <v>0</v>
      </c>
      <c r="J75" s="33">
        <f>VLOOKUP(завтрак4,таб,73,FALSE)</f>
        <v>0</v>
      </c>
      <c r="K75" s="34">
        <f>VLOOKUP(завтрак5,таб,73,FALSE)</f>
        <v>0</v>
      </c>
      <c r="L75" s="34"/>
      <c r="M75" s="27">
        <f>VLOOKUP(завтрак7,таб,73,FALSE)</f>
        <v>0</v>
      </c>
      <c r="N75" s="84"/>
      <c r="O75" s="35">
        <f>VLOOKUP(обед1,таб,73,FALSE)</f>
        <v>0</v>
      </c>
      <c r="P75" s="34">
        <f>VLOOKUP(обед2,таб,73,FALSE)</f>
        <v>0</v>
      </c>
      <c r="Q75" s="33">
        <f>VLOOKUP(обед3,таб,73,FALSE)</f>
        <v>0</v>
      </c>
      <c r="R75" s="34"/>
      <c r="S75" s="33">
        <f>VLOOKUP(обед5,таб,73,FALSE)</f>
        <v>0</v>
      </c>
      <c r="T75" s="34">
        <f>VLOOKUP(обед6,таб,73,FALSE)</f>
        <v>0</v>
      </c>
      <c r="U75" s="33">
        <f>VLOOKUP(обед7,таб,73,FALSE)</f>
        <v>0</v>
      </c>
      <c r="V75" s="34">
        <f>VLOOKUP(обед8,таб,73,FALSE)</f>
        <v>0</v>
      </c>
      <c r="W75" s="34">
        <f>VLOOKUP(полдник1,таб,73,FALSE)</f>
        <v>0</v>
      </c>
      <c r="X75" s="34">
        <f>VLOOKUP(полдник2,таб,73,FALSE)</f>
        <v>0</v>
      </c>
      <c r="Y75" s="90">
        <f>VLOOKUP(полдник3,таб,73,FALSE)</f>
        <v>0</v>
      </c>
      <c r="Z75" s="35">
        <f>VLOOKUP(ужин1,таб,73,FALSE)</f>
        <v>0</v>
      </c>
      <c r="AA75" s="33">
        <f>VLOOKUP(ужин2,таб,73,FALSE)</f>
        <v>0</v>
      </c>
      <c r="AB75" s="34">
        <f>VLOOKUP(ужин3,таб,73,FALSE)</f>
        <v>0</v>
      </c>
      <c r="AC75" s="33">
        <f>VLOOKUP(ужин4,таб,73,FALSE)</f>
        <v>0</v>
      </c>
      <c r="AD75" s="34"/>
      <c r="AE75" s="33">
        <f>VLOOKUP(ужин6,таб,73,FALSE)</f>
        <v>0</v>
      </c>
      <c r="AF75" s="34">
        <f>VLOOKUP(ужин7,таб,73,FALSE)</f>
        <v>0</v>
      </c>
      <c r="AG75" s="90">
        <f>VLOOKUP(ужин8,таб,73,FALSE)</f>
        <v>0</v>
      </c>
      <c r="AH75" s="112"/>
      <c r="AI75" s="122">
        <f>AK75/сред</f>
        <v>0</v>
      </c>
      <c r="AJ75" s="123"/>
      <c r="AK75" s="114">
        <f>SUM(G76:AG76)</f>
        <v>0</v>
      </c>
      <c r="AL75" s="114"/>
      <c r="AM75" s="175">
        <f>IF(AK75=0,0,DK117)</f>
        <v>0</v>
      </c>
      <c r="AN75" s="115">
        <f>AK75*AM75</f>
        <v>0</v>
      </c>
      <c r="AP75">
        <v>74</v>
      </c>
      <c r="AQ75" s="61" t="s">
        <v>379</v>
      </c>
      <c r="AR75" s="61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>
        <v>25</v>
      </c>
      <c r="BH75" s="60"/>
      <c r="BI75" s="60"/>
      <c r="BJ75" s="60"/>
      <c r="BK75" s="60"/>
      <c r="BL75" s="60">
        <v>2</v>
      </c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>
        <v>1.9</v>
      </c>
      <c r="CJ75" s="60">
        <v>11.3</v>
      </c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>
        <v>75</v>
      </c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ht="31.5" customHeight="1">
      <c r="A76" s="128"/>
      <c r="B76" s="128"/>
      <c r="C76" s="128"/>
      <c r="D76" s="128"/>
      <c r="E76" s="129"/>
      <c r="F76" s="65" t="s">
        <v>94</v>
      </c>
      <c r="G76" s="75">
        <f aca="true" t="shared" si="77" ref="G76:M76">IF(G75=0,"",завтракл*G75/1000)</f>
      </c>
      <c r="H76" s="46">
        <f t="shared" si="77"/>
      </c>
      <c r="I76" s="45">
        <f t="shared" si="77"/>
      </c>
      <c r="J76" s="46">
        <f t="shared" si="77"/>
      </c>
      <c r="K76" s="45">
        <f t="shared" si="77"/>
      </c>
      <c r="L76" s="45"/>
      <c r="M76" s="45">
        <f t="shared" si="77"/>
      </c>
      <c r="N76" s="85"/>
      <c r="O76" s="47">
        <f aca="true" t="shared" si="78" ref="O76:T76">IF(O75=0,"",обідл*O75/1000)</f>
      </c>
      <c r="P76" s="45">
        <f t="shared" si="78"/>
      </c>
      <c r="Q76" s="46">
        <f t="shared" si="78"/>
      </c>
      <c r="R76" s="45"/>
      <c r="S76" s="46">
        <f t="shared" si="78"/>
      </c>
      <c r="T76" s="45">
        <f t="shared" si="78"/>
      </c>
      <c r="U76" s="46">
        <f>IF(U75=0,"",обідл*U75/1000)</f>
      </c>
      <c r="V76" s="45">
        <f>IF(V75=0,"",обідл*V75/1000)</f>
      </c>
      <c r="W76" s="45">
        <f>IF(W75=0,"",полдникл*W75/1000)</f>
      </c>
      <c r="X76" s="45">
        <f>IF(X75=0,"",полдникл*X75/1000)</f>
      </c>
      <c r="Y76" s="85">
        <f>IF(Y75=0,"",полдникл*Y75/1000)</f>
      </c>
      <c r="Z76" s="47">
        <f aca="true" t="shared" si="79" ref="Z76:AG76">IF(Z75=0,"",ужинл*Z75/1000)</f>
      </c>
      <c r="AA76" s="46">
        <f t="shared" si="79"/>
      </c>
      <c r="AB76" s="45">
        <f t="shared" si="79"/>
      </c>
      <c r="AC76" s="46">
        <f t="shared" si="79"/>
      </c>
      <c r="AD76" s="45"/>
      <c r="AE76" s="46">
        <f t="shared" si="79"/>
      </c>
      <c r="AF76" s="45">
        <f t="shared" si="79"/>
      </c>
      <c r="AG76" s="85">
        <f t="shared" si="79"/>
      </c>
      <c r="AH76" s="113"/>
      <c r="AI76" s="122"/>
      <c r="AJ76" s="123"/>
      <c r="AK76" s="114"/>
      <c r="AL76" s="114"/>
      <c r="AM76" s="176"/>
      <c r="AN76" s="116"/>
      <c r="AP76">
        <v>75</v>
      </c>
      <c r="AQ76" s="61" t="s">
        <v>380</v>
      </c>
      <c r="AR76" s="61"/>
      <c r="AS76" s="60"/>
      <c r="AT76" s="60"/>
      <c r="AU76" s="60"/>
      <c r="AV76" s="60"/>
      <c r="AW76" s="60"/>
      <c r="AX76" s="60"/>
      <c r="AY76" s="60"/>
      <c r="AZ76" s="60">
        <v>5</v>
      </c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>
        <v>2</v>
      </c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>
        <v>50.7</v>
      </c>
      <c r="CJ76" s="60">
        <v>53.7</v>
      </c>
      <c r="CK76" s="60"/>
      <c r="CL76" s="60"/>
      <c r="CM76" s="60"/>
      <c r="CN76" s="60">
        <v>12</v>
      </c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>
        <v>100</v>
      </c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ht="31.5" customHeight="1">
      <c r="A77" s="153" t="s">
        <v>60</v>
      </c>
      <c r="B77" s="153"/>
      <c r="C77" s="153"/>
      <c r="D77" s="153"/>
      <c r="E77" s="154"/>
      <c r="F77" s="68" t="s">
        <v>93</v>
      </c>
      <c r="G77" s="76">
        <f>VLOOKUP(завтрак1,таб,72,FALSE)</f>
        <v>0</v>
      </c>
      <c r="H77" s="36">
        <f>VLOOKUP(завтрак2,таб,72,FALSE)</f>
        <v>0</v>
      </c>
      <c r="I77" s="37">
        <f>VLOOKUP(завтрак3,таб,72,FALSE)</f>
        <v>0</v>
      </c>
      <c r="J77" s="36">
        <f>VLOOKUP(завтрак4,таб,72,FALSE)</f>
        <v>0</v>
      </c>
      <c r="K77" s="37">
        <f>VLOOKUP(завтрак5,таб,72,FALSE)</f>
        <v>0</v>
      </c>
      <c r="L77" s="37"/>
      <c r="M77" s="27">
        <f>VLOOKUP(завтрак7,таб,72,FALSE)</f>
        <v>0</v>
      </c>
      <c r="N77" s="84"/>
      <c r="O77" s="38">
        <f>VLOOKUP(обед1,таб,72,FALSE)</f>
        <v>0</v>
      </c>
      <c r="P77" s="37"/>
      <c r="Q77" s="36">
        <f>VLOOKUP(обед3,таб,72,FALSE)</f>
        <v>0</v>
      </c>
      <c r="R77" s="37"/>
      <c r="S77" s="36">
        <f>VLOOKUP(обед5,таб,72,FALSE)</f>
        <v>0</v>
      </c>
      <c r="T77" s="37">
        <f>VLOOKUP(обед6,таб,72,FALSE)</f>
        <v>0</v>
      </c>
      <c r="U77" s="36">
        <f>VLOOKUP(обед7,таб,72,FALSE)</f>
        <v>0</v>
      </c>
      <c r="V77" s="37">
        <f>VLOOKUP(обед8,таб,72,FALSE)</f>
        <v>0</v>
      </c>
      <c r="W77" s="37">
        <f>VLOOKUP(полдник1,таб,72,FALSE)</f>
        <v>0</v>
      </c>
      <c r="X77" s="37">
        <f>VLOOKUP(полдник2,таб,72,FALSE)</f>
        <v>0</v>
      </c>
      <c r="Y77" s="91">
        <f>VLOOKUP(полдник3,таб,72,FALSE)</f>
        <v>0</v>
      </c>
      <c r="Z77" s="38">
        <f>VLOOKUP(ужин1,таб,72,FALSE)</f>
        <v>0</v>
      </c>
      <c r="AA77" s="36">
        <f>VLOOKUP(ужин2,таб,72,FALSE)</f>
        <v>0</v>
      </c>
      <c r="AB77" s="37">
        <f>VLOOKUP(ужин3,таб,72,FALSE)</f>
        <v>0</v>
      </c>
      <c r="AC77" s="36">
        <f>VLOOKUP(ужин4,таб,72,FALSE)</f>
        <v>0</v>
      </c>
      <c r="AD77" s="37"/>
      <c r="AE77" s="36">
        <f>VLOOKUP(ужин6,таб,72,FALSE)</f>
        <v>0</v>
      </c>
      <c r="AF77" s="37">
        <f>VLOOKUP(ужин7,таб,72,FALSE)</f>
        <v>0</v>
      </c>
      <c r="AG77" s="91">
        <f>VLOOKUP(ужин8,таб,72,FALSE)</f>
        <v>0</v>
      </c>
      <c r="AH77" s="112"/>
      <c r="AI77" s="122">
        <f>AK77/сред</f>
        <v>0</v>
      </c>
      <c r="AJ77" s="123"/>
      <c r="AK77" s="114">
        <f>SUM(G78:AG78)</f>
        <v>0</v>
      </c>
      <c r="AL77" s="114"/>
      <c r="AM77" s="175">
        <f>IF(AK77=0,0,DJ117)</f>
        <v>0</v>
      </c>
      <c r="AN77" s="115">
        <f>AK77*AM77</f>
        <v>0</v>
      </c>
      <c r="AP77">
        <v>76</v>
      </c>
      <c r="AQ77" s="61" t="s">
        <v>381</v>
      </c>
      <c r="AR77" s="61"/>
      <c r="AS77" s="60">
        <v>40.7</v>
      </c>
      <c r="AT77" s="60"/>
      <c r="AU77" s="60"/>
      <c r="AV77" s="60"/>
      <c r="AW77" s="60"/>
      <c r="AX77" s="60"/>
      <c r="AY77" s="60"/>
      <c r="AZ77" s="60"/>
      <c r="BA77" s="60"/>
      <c r="BB77" s="60"/>
      <c r="BC77" s="60">
        <v>5</v>
      </c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>
        <v>250</v>
      </c>
      <c r="CH77" s="60"/>
      <c r="CI77" s="60">
        <v>36.2</v>
      </c>
      <c r="CJ77" s="60"/>
      <c r="CK77" s="60"/>
      <c r="CL77" s="60"/>
      <c r="CM77" s="60">
        <v>5</v>
      </c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>
        <v>150</v>
      </c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ht="31.5" customHeight="1">
      <c r="A78" s="157"/>
      <c r="B78" s="157"/>
      <c r="C78" s="157"/>
      <c r="D78" s="157"/>
      <c r="E78" s="158"/>
      <c r="F78" s="65" t="s">
        <v>94</v>
      </c>
      <c r="G78" s="77">
        <f aca="true" t="shared" si="80" ref="G78:M78">IF(G77=0,"",завтракл*G77/1000)</f>
      </c>
      <c r="H78" s="48">
        <f t="shared" si="80"/>
      </c>
      <c r="I78" s="44">
        <f t="shared" si="80"/>
      </c>
      <c r="J78" s="48">
        <f t="shared" si="80"/>
      </c>
      <c r="K78" s="44">
        <f t="shared" si="80"/>
      </c>
      <c r="L78" s="44"/>
      <c r="M78" s="45">
        <f t="shared" si="80"/>
      </c>
      <c r="N78" s="85"/>
      <c r="O78" s="49">
        <f aca="true" t="shared" si="81" ref="O78:T78">IF(O77=0,"",обідл*O77/1000)</f>
      </c>
      <c r="P78" s="44">
        <f t="shared" si="81"/>
      </c>
      <c r="Q78" s="48">
        <f t="shared" si="81"/>
      </c>
      <c r="R78" s="44"/>
      <c r="S78" s="48">
        <f t="shared" si="81"/>
      </c>
      <c r="T78" s="44">
        <f t="shared" si="81"/>
      </c>
      <c r="U78" s="48">
        <f>IF(U77=0,"",обідл*U77/1000)</f>
      </c>
      <c r="V78" s="44">
        <f>IF(V77=0,"",обідл*V77/1000)</f>
      </c>
      <c r="W78" s="44">
        <f>IF(W77=0,"",полдникл*W77/1000)</f>
      </c>
      <c r="X78" s="44">
        <f>IF(X77=0,"",полдникл*X77/1000)</f>
      </c>
      <c r="Y78" s="88">
        <f>IF(Y77=0,"",полдникл*Y77/1000)</f>
      </c>
      <c r="Z78" s="49">
        <f aca="true" t="shared" si="82" ref="Z78:AG78">IF(Z77=0,"",ужинл*Z77/1000)</f>
      </c>
      <c r="AA78" s="48">
        <f t="shared" si="82"/>
      </c>
      <c r="AB78" s="44">
        <f t="shared" si="82"/>
      </c>
      <c r="AC78" s="48">
        <f t="shared" si="82"/>
      </c>
      <c r="AD78" s="44"/>
      <c r="AE78" s="48">
        <f t="shared" si="82"/>
      </c>
      <c r="AF78" s="44">
        <f t="shared" si="82"/>
      </c>
      <c r="AG78" s="88">
        <f t="shared" si="82"/>
      </c>
      <c r="AH78" s="113"/>
      <c r="AI78" s="122"/>
      <c r="AJ78" s="123"/>
      <c r="AK78" s="114"/>
      <c r="AL78" s="114"/>
      <c r="AM78" s="176"/>
      <c r="AN78" s="116"/>
      <c r="AP78">
        <v>77</v>
      </c>
      <c r="AQ78" s="61" t="s">
        <v>382</v>
      </c>
      <c r="AR78" s="61"/>
      <c r="AS78" s="60"/>
      <c r="AT78" s="60">
        <v>113</v>
      </c>
      <c r="AU78" s="60"/>
      <c r="AV78" s="60"/>
      <c r="AW78" s="60"/>
      <c r="AX78" s="60"/>
      <c r="AY78" s="60"/>
      <c r="AZ78" s="60">
        <v>3</v>
      </c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>
        <v>18</v>
      </c>
      <c r="CJ78" s="60">
        <v>4</v>
      </c>
      <c r="CK78" s="60"/>
      <c r="CL78" s="60"/>
      <c r="CM78" s="60">
        <v>2</v>
      </c>
      <c r="CN78" s="60"/>
      <c r="CO78" s="60">
        <v>9.4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>
        <v>150</v>
      </c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ht="31.5" customHeight="1">
      <c r="A79" s="128" t="s">
        <v>61</v>
      </c>
      <c r="B79" s="128"/>
      <c r="C79" s="128"/>
      <c r="D79" s="128"/>
      <c r="E79" s="129"/>
      <c r="F79" s="68" t="s">
        <v>93</v>
      </c>
      <c r="G79" s="74">
        <f>VLOOKUP(завтрак1,таб,74,FALSE)</f>
        <v>0</v>
      </c>
      <c r="H79" s="33">
        <f>VLOOKUP(завтрак2,таб,74,FALSE)</f>
        <v>0</v>
      </c>
      <c r="I79" s="34">
        <f>VLOOKUP(завтрак3,таб,74,FALSE)</f>
        <v>0</v>
      </c>
      <c r="J79" s="33">
        <f>VLOOKUP(завтрак4,таб,74,FALSE)</f>
        <v>0</v>
      </c>
      <c r="K79" s="34">
        <f>VLOOKUP(завтрак5,таб,74,FALSE)</f>
        <v>0</v>
      </c>
      <c r="L79" s="34"/>
      <c r="M79" s="27">
        <f>VLOOKUP(завтрак7,таб,74,FALSE)</f>
        <v>0</v>
      </c>
      <c r="N79" s="84"/>
      <c r="O79" s="35">
        <f>VLOOKUP(обед1,таб,74,FALSE)</f>
        <v>0</v>
      </c>
      <c r="P79" s="34">
        <f>VLOOKUP(обед2,таб,74,FALSE)</f>
        <v>0</v>
      </c>
      <c r="Q79" s="33">
        <f>VLOOKUP(обед3,таб,74,FALSE)</f>
        <v>0</v>
      </c>
      <c r="R79" s="34"/>
      <c r="S79" s="33">
        <f>VLOOKUP(обед5,таб,74,FALSE)</f>
        <v>0</v>
      </c>
      <c r="T79" s="34">
        <f>VLOOKUP(обед6,таб,74,FALSE)</f>
        <v>0</v>
      </c>
      <c r="U79" s="33">
        <f>VLOOKUP(обед7,таб,74,FALSE)</f>
        <v>0</v>
      </c>
      <c r="V79" s="34">
        <f>VLOOKUP(обед8,таб,74,FALSE)</f>
        <v>0</v>
      </c>
      <c r="W79" s="34">
        <f>VLOOKUP(полдник1,таб,74,FALSE)</f>
        <v>0</v>
      </c>
      <c r="X79" s="34">
        <f>VLOOKUP(полдник2,таб,74,FALSE)</f>
        <v>0</v>
      </c>
      <c r="Y79" s="90">
        <f>VLOOKUP(полдник3,таб,74,FALSE)</f>
        <v>0</v>
      </c>
      <c r="Z79" s="35">
        <f>VLOOKUP(ужин1,таб,74,FALSE)</f>
        <v>0</v>
      </c>
      <c r="AA79" s="33">
        <f>VLOOKUP(ужин2,таб,74,FALSE)</f>
        <v>0</v>
      </c>
      <c r="AB79" s="34">
        <f>VLOOKUP(ужин3,таб,74,FALSE)</f>
        <v>0</v>
      </c>
      <c r="AC79" s="33">
        <f>VLOOKUP(ужин4,таб,74,FALSE)</f>
        <v>0</v>
      </c>
      <c r="AD79" s="34"/>
      <c r="AE79" s="33">
        <f>VLOOKUP(ужин6,таб,74,FALSE)</f>
        <v>0</v>
      </c>
      <c r="AF79" s="34">
        <f>VLOOKUP(ужин7,таб,74,FALSE)</f>
        <v>0</v>
      </c>
      <c r="AG79" s="90">
        <f>VLOOKUP(ужин8,таб,74,FALSE)</f>
        <v>0</v>
      </c>
      <c r="AH79" s="112">
        <v>613052</v>
      </c>
      <c r="AI79" s="122">
        <f>AK79/сред</f>
        <v>0</v>
      </c>
      <c r="AJ79" s="123"/>
      <c r="AK79" s="114">
        <f>SUM(G80:AG80)</f>
        <v>0</v>
      </c>
      <c r="AL79" s="114"/>
      <c r="AM79" s="175">
        <f>IF(AK79=0,0,DL117)</f>
        <v>0</v>
      </c>
      <c r="AN79" s="115">
        <f>AK79*AM79</f>
        <v>0</v>
      </c>
      <c r="AP79">
        <v>78</v>
      </c>
      <c r="AQ79" s="60" t="s">
        <v>383</v>
      </c>
      <c r="AR79" s="60"/>
      <c r="AZ79">
        <v>5.3</v>
      </c>
      <c r="BR79">
        <v>30</v>
      </c>
      <c r="BW79">
        <v>5.3</v>
      </c>
      <c r="CC79">
        <v>7.5</v>
      </c>
      <c r="CF79">
        <v>27</v>
      </c>
      <c r="DE79" s="60">
        <v>150</v>
      </c>
      <c r="DM79">
        <v>11.3</v>
      </c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ht="31.5" customHeight="1">
      <c r="A80" s="128"/>
      <c r="B80" s="128"/>
      <c r="C80" s="128"/>
      <c r="D80" s="128"/>
      <c r="E80" s="129"/>
      <c r="F80" s="65" t="s">
        <v>94</v>
      </c>
      <c r="G80" s="75">
        <f aca="true" t="shared" si="83" ref="G80:M80">IF(G79=0,"",завтракл*G79/1000)</f>
      </c>
      <c r="H80" s="46">
        <f t="shared" si="83"/>
      </c>
      <c r="I80" s="45">
        <f t="shared" si="83"/>
      </c>
      <c r="J80" s="46">
        <f t="shared" si="83"/>
      </c>
      <c r="K80" s="45">
        <f t="shared" si="83"/>
      </c>
      <c r="L80" s="45"/>
      <c r="M80" s="45">
        <f t="shared" si="83"/>
      </c>
      <c r="N80" s="85"/>
      <c r="O80" s="47">
        <f aca="true" t="shared" si="84" ref="O80:T80">IF(O79=0,"",обідл*O79/1000)</f>
      </c>
      <c r="P80" s="45">
        <f t="shared" si="84"/>
      </c>
      <c r="Q80" s="46">
        <f t="shared" si="84"/>
      </c>
      <c r="R80" s="45"/>
      <c r="S80" s="46">
        <f t="shared" si="84"/>
      </c>
      <c r="T80" s="45">
        <f t="shared" si="84"/>
      </c>
      <c r="U80" s="46">
        <f>IF(U79=0,"",обідл*U79/1000)</f>
      </c>
      <c r="V80" s="45">
        <f>IF(V79=0,"",обідл*V79/1000)</f>
      </c>
      <c r="W80" s="45">
        <f>IF(W79=0,"",полдникл*W79/1000)</f>
      </c>
      <c r="X80" s="45">
        <f>IF(X79=0,"",полдникл*X79/1000)</f>
      </c>
      <c r="Y80" s="85">
        <f>IF(Y79=0,"",полдникл*Y79/1000)</f>
      </c>
      <c r="Z80" s="47">
        <f aca="true" t="shared" si="85" ref="Z80:AG80">IF(Z79=0,"",ужинл*Z79/1000)</f>
      </c>
      <c r="AA80" s="46">
        <f t="shared" si="85"/>
      </c>
      <c r="AB80" s="45">
        <f t="shared" si="85"/>
      </c>
      <c r="AC80" s="46">
        <f t="shared" si="85"/>
      </c>
      <c r="AD80" s="45"/>
      <c r="AE80" s="46">
        <f t="shared" si="85"/>
      </c>
      <c r="AF80" s="45">
        <f t="shared" si="85"/>
      </c>
      <c r="AG80" s="85">
        <f t="shared" si="85"/>
      </c>
      <c r="AH80" s="113"/>
      <c r="AI80" s="122"/>
      <c r="AJ80" s="123"/>
      <c r="AK80" s="114"/>
      <c r="AL80" s="114"/>
      <c r="AM80" s="176"/>
      <c r="AN80" s="116"/>
      <c r="AP80">
        <v>79</v>
      </c>
      <c r="AQ80" s="61" t="s">
        <v>384</v>
      </c>
      <c r="AR80" s="61"/>
      <c r="AS80" s="60"/>
      <c r="AT80" s="60">
        <v>62.5</v>
      </c>
      <c r="AU80" s="60"/>
      <c r="AV80" s="60">
        <v>88.9</v>
      </c>
      <c r="AW80" s="60"/>
      <c r="AX80" s="60"/>
      <c r="AY80" s="60"/>
      <c r="AZ80" s="60"/>
      <c r="BA80" s="60"/>
      <c r="BB80" s="60"/>
      <c r="BC80" s="60">
        <v>5</v>
      </c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>
        <v>31.6</v>
      </c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>
        <v>150</v>
      </c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ht="31.5" customHeight="1">
      <c r="A81" s="153" t="s">
        <v>22</v>
      </c>
      <c r="B81" s="153"/>
      <c r="C81" s="153"/>
      <c r="D81" s="153"/>
      <c r="E81" s="154"/>
      <c r="F81" s="68" t="s">
        <v>93</v>
      </c>
      <c r="G81" s="76">
        <f>VLOOKUP(завтрак1,таб,27,FALSE)</f>
        <v>0</v>
      </c>
      <c r="H81" s="36">
        <f>VLOOKUP(завтрак2,таб,27,FALSE)</f>
        <v>0</v>
      </c>
      <c r="I81" s="37">
        <f>VLOOKUP(завтрак3,таб,27,FALSE)</f>
        <v>0</v>
      </c>
      <c r="J81" s="36">
        <f>VLOOKUP(завтрак4,таб,27,FALSE)</f>
        <v>0</v>
      </c>
      <c r="K81" s="37">
        <f>VLOOKUP(завтрак5,таб,27,FALSE)</f>
        <v>0</v>
      </c>
      <c r="L81" s="37"/>
      <c r="M81" s="27">
        <f>VLOOKUP(завтрак7,таб,27,FALSE)</f>
        <v>0</v>
      </c>
      <c r="N81" s="84"/>
      <c r="O81" s="38">
        <f>VLOOKUP(обед1,таб,27,FALSE)</f>
        <v>0</v>
      </c>
      <c r="P81" s="37">
        <f>VLOOKUP(обед2,таб,27,FALSE)</f>
        <v>0</v>
      </c>
      <c r="Q81" s="36">
        <f>VLOOKUP(обед3,таб,27,FALSE)</f>
        <v>0</v>
      </c>
      <c r="R81" s="37"/>
      <c r="S81" s="36">
        <f>VLOOKUP(обед5,таб,27,FALSE)</f>
        <v>0</v>
      </c>
      <c r="T81" s="37">
        <f>VLOOKUP(обед6,таб,27,FALSE)</f>
        <v>0</v>
      </c>
      <c r="U81" s="36">
        <f>VLOOKUP(обед7,таб,27,FALSE)</f>
        <v>0</v>
      </c>
      <c r="V81" s="37">
        <f>VLOOKUP(обед8,таб,27,FALSE)</f>
        <v>0</v>
      </c>
      <c r="W81" s="37">
        <f>VLOOKUP(полдник1,таб,27,FALSE)</f>
        <v>0</v>
      </c>
      <c r="X81" s="37">
        <f>VLOOKUP(полдник2,таб,27,FALSE)</f>
        <v>0</v>
      </c>
      <c r="Y81" s="91">
        <f>VLOOKUP(полдник3,таб,27,FALSE)</f>
        <v>0</v>
      </c>
      <c r="Z81" s="38">
        <f>VLOOKUP(ужин1,таб,27,FALSE)</f>
        <v>0</v>
      </c>
      <c r="AA81" s="36">
        <f>VLOOKUP(ужин2,таб,27,FALSE)</f>
        <v>0</v>
      </c>
      <c r="AB81" s="37">
        <f>VLOOKUP(ужин3,таб,27,FALSE)</f>
        <v>0</v>
      </c>
      <c r="AC81" s="36">
        <f>VLOOKUP(ужин4,таб,27,FALSE)</f>
        <v>0</v>
      </c>
      <c r="AD81" s="37"/>
      <c r="AE81" s="36">
        <f>VLOOKUP(ужин6,таб,27,FALSE)</f>
        <v>0</v>
      </c>
      <c r="AF81" s="37">
        <f>VLOOKUP(ужин7,таб,27,FALSE)</f>
        <v>0</v>
      </c>
      <c r="AG81" s="91">
        <f>VLOOKUP(ужин8,таб,27,FALSE)</f>
        <v>0</v>
      </c>
      <c r="AH81" s="112">
        <v>603015</v>
      </c>
      <c r="AI81" s="122">
        <f>AK81/сред</f>
        <v>0</v>
      </c>
      <c r="AJ81" s="123"/>
      <c r="AK81" s="114">
        <f>SUM(G82:AG82)</f>
        <v>0</v>
      </c>
      <c r="AL81" s="114"/>
      <c r="AM81" s="175">
        <f>IF(AK81=0,0,BQ117)</f>
        <v>0</v>
      </c>
      <c r="AN81" s="115">
        <f>AK81*AM81</f>
        <v>0</v>
      </c>
      <c r="AP81">
        <v>80</v>
      </c>
      <c r="AQ81" s="61" t="s">
        <v>385</v>
      </c>
      <c r="AR81" s="61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>
        <v>3</v>
      </c>
      <c r="BD81" s="60"/>
      <c r="BE81" s="60"/>
      <c r="BF81" s="60"/>
      <c r="BG81" s="60"/>
      <c r="BH81" s="60"/>
      <c r="BI81" s="60"/>
      <c r="BJ81" s="60"/>
      <c r="BK81" s="60"/>
      <c r="BL81" s="60">
        <v>3</v>
      </c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>
        <v>1.5</v>
      </c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>
        <v>9.4</v>
      </c>
      <c r="CJ81" s="60"/>
      <c r="CK81" s="60"/>
      <c r="CL81" s="60"/>
      <c r="CM81" s="60"/>
      <c r="CN81" s="60"/>
      <c r="CO81" s="60">
        <v>43.1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>
        <v>150</v>
      </c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ht="31.5" customHeight="1">
      <c r="A82" s="157"/>
      <c r="B82" s="157"/>
      <c r="C82" s="157"/>
      <c r="D82" s="157"/>
      <c r="E82" s="158"/>
      <c r="F82" s="65" t="s">
        <v>94</v>
      </c>
      <c r="G82" s="77">
        <f aca="true" t="shared" si="86" ref="G82:M82">IF(G81=0,"",завтракл*G81/1000)</f>
      </c>
      <c r="H82" s="48">
        <f t="shared" si="86"/>
      </c>
      <c r="I82" s="44">
        <f t="shared" si="86"/>
      </c>
      <c r="J82" s="48">
        <f t="shared" si="86"/>
      </c>
      <c r="K82" s="44">
        <f t="shared" si="86"/>
      </c>
      <c r="L82" s="44"/>
      <c r="M82" s="45">
        <f t="shared" si="86"/>
      </c>
      <c r="N82" s="85"/>
      <c r="O82" s="49">
        <f aca="true" t="shared" si="87" ref="O82:T82">IF(O81=0,"",обідл*O81/1000)</f>
      </c>
      <c r="P82" s="44">
        <f t="shared" si="87"/>
      </c>
      <c r="Q82" s="48">
        <f t="shared" si="87"/>
      </c>
      <c r="R82" s="44"/>
      <c r="S82" s="48">
        <f t="shared" si="87"/>
      </c>
      <c r="T82" s="44">
        <f t="shared" si="87"/>
      </c>
      <c r="U82" s="48">
        <f>IF(U81=0,"",обідл*U81/1000)</f>
      </c>
      <c r="V82" s="44">
        <f>IF(V81=0,"",обідл*V81/1000)</f>
      </c>
      <c r="W82" s="44">
        <f>IF(W81=0,"",полдникл*W81/1000)</f>
      </c>
      <c r="X82" s="44">
        <f>IF(X81=0,"",полдникл*X81/1000)</f>
      </c>
      <c r="Y82" s="88">
        <f>IF(Y81=0,"",полдникл*Y81/1000)</f>
      </c>
      <c r="Z82" s="49">
        <f aca="true" t="shared" si="88" ref="Z82:AG82">IF(Z81=0,"",ужинл*Z81/1000)</f>
      </c>
      <c r="AA82" s="48">
        <f t="shared" si="88"/>
      </c>
      <c r="AB82" s="44">
        <f t="shared" si="88"/>
      </c>
      <c r="AC82" s="48">
        <f t="shared" si="88"/>
      </c>
      <c r="AD82" s="44"/>
      <c r="AE82" s="48">
        <f t="shared" si="88"/>
      </c>
      <c r="AF82" s="44">
        <f t="shared" si="88"/>
      </c>
      <c r="AG82" s="88">
        <f t="shared" si="88"/>
      </c>
      <c r="AH82" s="113"/>
      <c r="AI82" s="122"/>
      <c r="AJ82" s="123"/>
      <c r="AK82" s="114"/>
      <c r="AL82" s="114"/>
      <c r="AM82" s="176"/>
      <c r="AN82" s="116"/>
      <c r="AP82">
        <v>81</v>
      </c>
      <c r="AQ82" s="61" t="s">
        <v>386</v>
      </c>
      <c r="AR82" s="61"/>
      <c r="AS82" s="60"/>
      <c r="AT82" s="60"/>
      <c r="AU82" s="60"/>
      <c r="AV82" s="60"/>
      <c r="AW82" s="60"/>
      <c r="AX82" s="60">
        <v>86.8</v>
      </c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>
        <v>0.1</v>
      </c>
      <c r="BK82" s="60"/>
      <c r="BL82" s="60">
        <v>2</v>
      </c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>
        <v>75</v>
      </c>
      <c r="DF82" s="60"/>
      <c r="DG82" s="60"/>
      <c r="DH82" s="60"/>
      <c r="DI82" s="60">
        <v>2</v>
      </c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ht="31.5" customHeight="1">
      <c r="A83" s="128" t="s">
        <v>24</v>
      </c>
      <c r="B83" s="128"/>
      <c r="C83" s="128"/>
      <c r="D83" s="128"/>
      <c r="E83" s="129"/>
      <c r="F83" s="68" t="s">
        <v>93</v>
      </c>
      <c r="G83" s="74">
        <f>VLOOKUP(завтрак1,таб,28,FALSE)</f>
        <v>0</v>
      </c>
      <c r="H83" s="33">
        <f>VLOOKUP(завтрак2,таб,28,FALSE)</f>
        <v>0</v>
      </c>
      <c r="I83" s="34">
        <f>VLOOKUP(завтрак3,таб,28,FALSE)</f>
        <v>0</v>
      </c>
      <c r="J83" s="33">
        <f>VLOOKUP(завтрак4,таб,28,FALSE)</f>
        <v>0</v>
      </c>
      <c r="K83" s="34">
        <f>VLOOKUP(завтрак5,таб,28,FALSE)</f>
        <v>0</v>
      </c>
      <c r="L83" s="34"/>
      <c r="M83" s="27">
        <f>VLOOKUP(завтрак7,таб,28,FALSE)</f>
        <v>0</v>
      </c>
      <c r="N83" s="84"/>
      <c r="O83" s="35">
        <f>VLOOKUP(обед1,таб,28,FALSE)</f>
        <v>0</v>
      </c>
      <c r="P83" s="34">
        <v>10</v>
      </c>
      <c r="Q83" s="33">
        <f>VLOOKUP(обед3,таб,28,FALSE)</f>
        <v>0</v>
      </c>
      <c r="R83" s="34"/>
      <c r="S83" s="33">
        <f>VLOOKUP(обед5,таб,28,FALSE)</f>
        <v>0</v>
      </c>
      <c r="T83" s="34">
        <f>VLOOKUP(обед6,таб,28,FALSE)</f>
        <v>0</v>
      </c>
      <c r="U83" s="33">
        <f>VLOOKUP(обед7,таб,28,FALSE)</f>
        <v>0</v>
      </c>
      <c r="V83" s="34">
        <f>VLOOKUP(обед8,таб,28,FALSE)</f>
        <v>0</v>
      </c>
      <c r="W83" s="34">
        <f>VLOOKUP(полдник1,таб,28,FALSE)</f>
        <v>0</v>
      </c>
      <c r="X83" s="34">
        <f>VLOOKUP(полдник2,таб,28,FALSE)</f>
        <v>0</v>
      </c>
      <c r="Y83" s="90">
        <f>VLOOKUP(полдник3,таб,28,FALSE)</f>
        <v>0</v>
      </c>
      <c r="Z83" s="35">
        <f>VLOOKUP(ужин1,таб,28,FALSE)</f>
        <v>0</v>
      </c>
      <c r="AA83" s="33">
        <f>VLOOKUP(ужин2,таб,28,FALSE)</f>
        <v>0</v>
      </c>
      <c r="AB83" s="34">
        <f>VLOOKUP(ужин3,таб,28,FALSE)</f>
        <v>42.8</v>
      </c>
      <c r="AC83" s="33">
        <f>VLOOKUP(ужин4,таб,28,FALSE)</f>
        <v>0</v>
      </c>
      <c r="AD83" s="34"/>
      <c r="AE83" s="33">
        <f>VLOOKUP(ужин6,таб,28,FALSE)</f>
        <v>0</v>
      </c>
      <c r="AF83" s="34">
        <f>VLOOKUP(ужин7,таб,28,FALSE)</f>
        <v>0</v>
      </c>
      <c r="AG83" s="90">
        <f>VLOOKUP(ужин8,таб,28,FALSE)</f>
        <v>0</v>
      </c>
      <c r="AH83" s="112">
        <v>613046</v>
      </c>
      <c r="AI83" s="122">
        <f>AK83/сред</f>
        <v>0.049019999999999994</v>
      </c>
      <c r="AJ83" s="123"/>
      <c r="AK83" s="114">
        <f>SUM(G84:AG84)</f>
        <v>0.9803999999999999</v>
      </c>
      <c r="AL83" s="114"/>
      <c r="AM83" s="175">
        <v>28.1</v>
      </c>
      <c r="AN83" s="115">
        <f>AK83*AM83</f>
        <v>27.54924</v>
      </c>
      <c r="AP83">
        <v>82</v>
      </c>
      <c r="AQ83" s="61" t="s">
        <v>387</v>
      </c>
      <c r="AR83" s="61"/>
      <c r="AS83" s="60"/>
      <c r="AT83" s="60"/>
      <c r="AU83" s="60"/>
      <c r="AV83" s="60"/>
      <c r="AW83" s="60"/>
      <c r="AX83" s="60">
        <v>95</v>
      </c>
      <c r="AY83" s="60"/>
      <c r="AZ83" s="60"/>
      <c r="BA83" s="60"/>
      <c r="BB83" s="60"/>
      <c r="BC83" s="60">
        <v>4</v>
      </c>
      <c r="BD83" s="60"/>
      <c r="BE83" s="60"/>
      <c r="BF83" s="60"/>
      <c r="BG83" s="60"/>
      <c r="BH83" s="60"/>
      <c r="BI83" s="60"/>
      <c r="BJ83" s="60"/>
      <c r="BK83" s="60"/>
      <c r="BL83" s="60">
        <v>8</v>
      </c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>
        <v>75</v>
      </c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ht="31.5" customHeight="1">
      <c r="A84" s="128"/>
      <c r="B84" s="128"/>
      <c r="C84" s="128"/>
      <c r="D84" s="128"/>
      <c r="E84" s="129"/>
      <c r="F84" s="65" t="s">
        <v>94</v>
      </c>
      <c r="G84" s="75">
        <f aca="true" t="shared" si="89" ref="G84:M84">IF(G83=0,"",завтракл*G83/1000)</f>
      </c>
      <c r="H84" s="46">
        <f t="shared" si="89"/>
      </c>
      <c r="I84" s="45">
        <f t="shared" si="89"/>
      </c>
      <c r="J84" s="46">
        <f t="shared" si="89"/>
      </c>
      <c r="K84" s="45">
        <f t="shared" si="89"/>
      </c>
      <c r="L84" s="45"/>
      <c r="M84" s="45">
        <f t="shared" si="89"/>
      </c>
      <c r="N84" s="85"/>
      <c r="O84" s="47">
        <f aca="true" t="shared" si="90" ref="O84:T84">IF(O83=0,"",обідл*O83/1000)</f>
      </c>
      <c r="P84" s="45">
        <f t="shared" si="90"/>
        <v>0.21</v>
      </c>
      <c r="Q84" s="46">
        <f t="shared" si="90"/>
      </c>
      <c r="R84" s="45"/>
      <c r="S84" s="46">
        <f t="shared" si="90"/>
      </c>
      <c r="T84" s="45">
        <f t="shared" si="90"/>
      </c>
      <c r="U84" s="46">
        <f>IF(U83=0,"",обідл*U83/1000)</f>
      </c>
      <c r="V84" s="45">
        <f>IF(V83=0,"",обідл*V83/1000)</f>
      </c>
      <c r="W84" s="45">
        <f>IF(W83=0,"",полдникл*W83/1000)</f>
      </c>
      <c r="X84" s="45">
        <f>IF(X83=0,"",полдникл*X83/1000)</f>
      </c>
      <c r="Y84" s="85">
        <f>IF(Y83=0,"",полдникл*Y83/1000)</f>
      </c>
      <c r="Z84" s="47">
        <f aca="true" t="shared" si="91" ref="Z84:AG84">IF(Z83=0,"",ужинл*Z83/1000)</f>
      </c>
      <c r="AA84" s="46">
        <f t="shared" si="91"/>
      </c>
      <c r="AB84" s="45">
        <f t="shared" si="91"/>
        <v>0.7704</v>
      </c>
      <c r="AC84" s="46">
        <f t="shared" si="91"/>
      </c>
      <c r="AD84" s="45"/>
      <c r="AE84" s="46">
        <f t="shared" si="91"/>
      </c>
      <c r="AF84" s="45">
        <f t="shared" si="91"/>
      </c>
      <c r="AG84" s="85">
        <f t="shared" si="91"/>
      </c>
      <c r="AH84" s="113"/>
      <c r="AI84" s="122"/>
      <c r="AJ84" s="123"/>
      <c r="AK84" s="114"/>
      <c r="AL84" s="114"/>
      <c r="AM84" s="176"/>
      <c r="AN84" s="116"/>
      <c r="AP84">
        <v>83</v>
      </c>
      <c r="AQ84" s="61" t="s">
        <v>312</v>
      </c>
      <c r="AR84" s="61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>
        <v>4.5</v>
      </c>
      <c r="BD84" s="60"/>
      <c r="BE84" s="60"/>
      <c r="BF84" s="60"/>
      <c r="BG84" s="60"/>
      <c r="BH84" s="60"/>
      <c r="BI84" s="60"/>
      <c r="BJ84" s="60">
        <v>0.1</v>
      </c>
      <c r="BK84" s="60"/>
      <c r="BL84" s="60">
        <v>23.4</v>
      </c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>
        <v>6.2</v>
      </c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>
        <v>63.1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>
        <v>75</v>
      </c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ht="31.5" customHeight="1">
      <c r="A85" s="153" t="s">
        <v>23</v>
      </c>
      <c r="B85" s="153"/>
      <c r="C85" s="153"/>
      <c r="D85" s="153"/>
      <c r="E85" s="154"/>
      <c r="F85" s="68" t="s">
        <v>93</v>
      </c>
      <c r="G85" s="76">
        <f>VLOOKUP(завтрак1,таб,29,FALSE)</f>
        <v>0</v>
      </c>
      <c r="H85" s="36">
        <f>VLOOKUP(завтрак2,таб,29,FALSE)</f>
        <v>0</v>
      </c>
      <c r="I85" s="37">
        <f>VLOOKUP(завтрак3,таб,29,FALSE)</f>
        <v>0</v>
      </c>
      <c r="J85" s="36">
        <f>VLOOKUP(завтрак4,таб,29,FALSE)</f>
        <v>0</v>
      </c>
      <c r="K85" s="37">
        <f>VLOOKUP(завтрак5,таб,29,FALSE)</f>
        <v>0</v>
      </c>
      <c r="L85" s="37"/>
      <c r="M85" s="27">
        <f>VLOOKUP(завтрак7,таб,29,FALSE)</f>
        <v>0</v>
      </c>
      <c r="N85" s="84"/>
      <c r="O85" s="38">
        <f>VLOOKUP(обед1,таб,29,FALSE)</f>
        <v>0</v>
      </c>
      <c r="P85" s="37">
        <f>VLOOKUP(обед2,таб,29,FALSE)</f>
        <v>0</v>
      </c>
      <c r="Q85" s="36">
        <f>VLOOKUP(обед3,таб,29,FALSE)</f>
        <v>0</v>
      </c>
      <c r="R85" s="37"/>
      <c r="S85" s="36">
        <f>VLOOKUP(обед5,таб,29,FALSE)</f>
        <v>0</v>
      </c>
      <c r="T85" s="37">
        <f>VLOOKUP(обед6,таб,29,FALSE)</f>
        <v>0</v>
      </c>
      <c r="U85" s="36">
        <f>VLOOKUP(обед7,таб,29,FALSE)</f>
        <v>0</v>
      </c>
      <c r="V85" s="37">
        <f>VLOOKUP(обед8,таб,29,FALSE)</f>
        <v>0</v>
      </c>
      <c r="W85" s="37">
        <f>VLOOKUP(полдник1,таб,29,FALSE)</f>
        <v>0</v>
      </c>
      <c r="X85" s="37">
        <f>VLOOKUP(полдник2,таб,29,FALSE)</f>
        <v>0</v>
      </c>
      <c r="Y85" s="91">
        <f>VLOOKUP(полдник3,таб,29,FALSE)</f>
        <v>0</v>
      </c>
      <c r="Z85" s="38">
        <f>VLOOKUP(ужин1,таб,29,FALSE)</f>
        <v>0</v>
      </c>
      <c r="AA85" s="36">
        <f>VLOOKUP(ужин2,таб,29,FALSE)</f>
        <v>0</v>
      </c>
      <c r="AB85" s="37">
        <f>VLOOKUP(ужин3,таб,29,FALSE)</f>
        <v>0</v>
      </c>
      <c r="AC85" s="36">
        <f>VLOOKUP(ужин4,таб,29,FALSE)</f>
        <v>0</v>
      </c>
      <c r="AD85" s="37"/>
      <c r="AE85" s="36">
        <f>VLOOKUP(ужин6,таб,29,FALSE)</f>
        <v>0</v>
      </c>
      <c r="AF85" s="37">
        <f>VLOOKUP(ужин7,таб,29,FALSE)</f>
        <v>0</v>
      </c>
      <c r="AG85" s="91">
        <f>VLOOKUP(ужин8,таб,29,FALSE)</f>
        <v>0</v>
      </c>
      <c r="AH85" s="112">
        <v>613052</v>
      </c>
      <c r="AI85" s="122">
        <f>AK85/сред</f>
        <v>0</v>
      </c>
      <c r="AJ85" s="123"/>
      <c r="AK85" s="114">
        <f>SUM(G86:AG86)</f>
        <v>0</v>
      </c>
      <c r="AL85" s="114"/>
      <c r="AM85" s="175">
        <f>IF(AK85=0,0,BS117)</f>
        <v>0</v>
      </c>
      <c r="AN85" s="115">
        <f>AK85*AM85</f>
        <v>0</v>
      </c>
      <c r="AP85">
        <v>84</v>
      </c>
      <c r="AQ85" s="61" t="s">
        <v>388</v>
      </c>
      <c r="AR85" s="61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>
        <v>63.8</v>
      </c>
      <c r="BE85" s="60"/>
      <c r="BF85" s="60"/>
      <c r="BG85" s="60"/>
      <c r="BH85" s="60"/>
      <c r="BI85" s="60"/>
      <c r="BJ85" s="60"/>
      <c r="BK85" s="60"/>
      <c r="BL85" s="60"/>
      <c r="BM85" s="60">
        <v>7.5</v>
      </c>
      <c r="BN85" s="60"/>
      <c r="BO85" s="60"/>
      <c r="BP85" s="60"/>
      <c r="BQ85" s="60"/>
      <c r="BR85" s="60"/>
      <c r="BS85" s="60"/>
      <c r="BT85" s="60"/>
      <c r="BU85" s="60"/>
      <c r="BV85" s="60"/>
      <c r="BW85" s="60">
        <v>6.4</v>
      </c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>
        <v>75</v>
      </c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ht="31.5" customHeight="1">
      <c r="A86" s="157"/>
      <c r="B86" s="157"/>
      <c r="C86" s="157"/>
      <c r="D86" s="157"/>
      <c r="E86" s="158"/>
      <c r="F86" s="65" t="s">
        <v>94</v>
      </c>
      <c r="G86" s="77">
        <f aca="true" t="shared" si="92" ref="G86:M86">IF(G85=0,"",завтракл*G85/1000)</f>
      </c>
      <c r="H86" s="48">
        <f t="shared" si="92"/>
      </c>
      <c r="I86" s="44">
        <f t="shared" si="92"/>
      </c>
      <c r="J86" s="48">
        <f t="shared" si="92"/>
      </c>
      <c r="K86" s="44">
        <f t="shared" si="92"/>
      </c>
      <c r="L86" s="44"/>
      <c r="M86" s="45">
        <f t="shared" si="92"/>
      </c>
      <c r="N86" s="85"/>
      <c r="O86" s="49">
        <f aca="true" t="shared" si="93" ref="O86:T86">IF(O85=0,"",обідл*O85/1000)</f>
      </c>
      <c r="P86" s="44">
        <f t="shared" si="93"/>
      </c>
      <c r="Q86" s="48">
        <f t="shared" si="93"/>
      </c>
      <c r="R86" s="44"/>
      <c r="S86" s="48">
        <f t="shared" si="93"/>
      </c>
      <c r="T86" s="44">
        <f t="shared" si="93"/>
      </c>
      <c r="U86" s="48">
        <f>IF(U85=0,"",обідл*U85/1000)</f>
      </c>
      <c r="V86" s="44">
        <f>IF(V85=0,"",обідл*V85/1000)</f>
      </c>
      <c r="W86" s="44">
        <f>IF(W85=0,"",полдникл*W85/1000)</f>
      </c>
      <c r="X86" s="44">
        <f>IF(X85=0,"",полдникл*X85/1000)</f>
      </c>
      <c r="Y86" s="88">
        <f>IF(Y85=0,"",полдникл*Y85/1000)</f>
      </c>
      <c r="Z86" s="49">
        <f aca="true" t="shared" si="94" ref="Z86:AG86">IF(Z85=0,"",ужинл*Z85/1000)</f>
      </c>
      <c r="AA86" s="48">
        <f t="shared" si="94"/>
      </c>
      <c r="AB86" s="44">
        <f t="shared" si="94"/>
      </c>
      <c r="AC86" s="48">
        <f t="shared" si="94"/>
      </c>
      <c r="AD86" s="44"/>
      <c r="AE86" s="48">
        <f t="shared" si="94"/>
      </c>
      <c r="AF86" s="44">
        <f t="shared" si="94"/>
      </c>
      <c r="AG86" s="88">
        <f t="shared" si="94"/>
      </c>
      <c r="AH86" s="113"/>
      <c r="AI86" s="122"/>
      <c r="AJ86" s="123"/>
      <c r="AK86" s="114"/>
      <c r="AL86" s="114"/>
      <c r="AM86" s="176"/>
      <c r="AN86" s="116"/>
      <c r="AP86">
        <v>85</v>
      </c>
      <c r="AQ86" s="61" t="s">
        <v>389</v>
      </c>
      <c r="AR86" s="61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>
        <v>50</v>
      </c>
      <c r="BE86" s="60"/>
      <c r="BF86" s="60"/>
      <c r="BG86" s="60"/>
      <c r="BH86" s="60"/>
      <c r="BI86" s="60"/>
      <c r="BJ86" s="60">
        <v>0.1</v>
      </c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>
        <v>5</v>
      </c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>
        <v>15</v>
      </c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>
        <v>75</v>
      </c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ht="31.5" customHeight="1">
      <c r="A87" s="128" t="s">
        <v>120</v>
      </c>
      <c r="B87" s="128"/>
      <c r="C87" s="128"/>
      <c r="D87" s="128"/>
      <c r="E87" s="129"/>
      <c r="F87" s="68" t="s">
        <v>93</v>
      </c>
      <c r="G87" s="74">
        <f>VLOOKUP(завтрак1,таб,30,FALSE)</f>
        <v>0</v>
      </c>
      <c r="H87" s="33">
        <f>VLOOKUP(завтрак2,таб,30,FALSE)</f>
        <v>0</v>
      </c>
      <c r="I87" s="34">
        <f>VLOOKUP(завтрак3,таб,30,FALSE)</f>
        <v>0</v>
      </c>
      <c r="J87" s="33">
        <f>VLOOKUP(завтрак4,таб,30,FALSE)</f>
        <v>0</v>
      </c>
      <c r="K87" s="34">
        <f>VLOOKUP(завтрак5,таб,30,FALSE)</f>
        <v>0</v>
      </c>
      <c r="L87" s="34"/>
      <c r="M87" s="27">
        <f>VLOOKUP(завтрак7,таб,30,FALSE)</f>
        <v>0</v>
      </c>
      <c r="N87" s="84"/>
      <c r="O87" s="35">
        <f>VLOOKUP(обед1,таб,30,FALSE)</f>
        <v>0</v>
      </c>
      <c r="P87" s="34">
        <f>VLOOKUP(обед2,таб,30,FALSE)</f>
        <v>0</v>
      </c>
      <c r="Q87" s="33">
        <f>VLOOKUP(обед3,таб,30,FALSE)</f>
        <v>0</v>
      </c>
      <c r="R87" s="34"/>
      <c r="S87" s="33">
        <f>VLOOKUP(обед5,таб,30,FALSE)</f>
        <v>0</v>
      </c>
      <c r="T87" s="34">
        <f>VLOOKUP(обед6,таб,30,FALSE)</f>
        <v>0</v>
      </c>
      <c r="U87" s="33">
        <f>VLOOKUP(обед7,таб,30,FALSE)</f>
        <v>0</v>
      </c>
      <c r="V87" s="34">
        <f>VLOOKUP(обед8,таб,30,FALSE)</f>
        <v>0</v>
      </c>
      <c r="W87" s="34">
        <f>VLOOKUP(полдник1,таб,30,FALSE)</f>
        <v>0</v>
      </c>
      <c r="X87" s="34">
        <f>VLOOKUP(полдник2,таб,30,FALSE)</f>
        <v>0</v>
      </c>
      <c r="Y87" s="90">
        <f>VLOOKUP(полдник3,таб,30,FALSE)</f>
        <v>0</v>
      </c>
      <c r="Z87" s="35">
        <f>VLOOKUP(ужин1,таб,30,FALSE)</f>
        <v>0</v>
      </c>
      <c r="AA87" s="33">
        <f>VLOOKUP(ужин2,таб,30,FALSE)</f>
        <v>0</v>
      </c>
      <c r="AB87" s="34">
        <f>VLOOKUP(ужин3,таб,30,FALSE)</f>
        <v>0</v>
      </c>
      <c r="AC87" s="33">
        <f>VLOOKUP(ужин4,таб,30,FALSE)</f>
        <v>0</v>
      </c>
      <c r="AD87" s="34"/>
      <c r="AE87" s="33">
        <f>VLOOKUP(ужин6,таб,30,FALSE)</f>
        <v>0</v>
      </c>
      <c r="AF87" s="34">
        <f>VLOOKUP(ужин7,таб,30,FALSE)</f>
        <v>0</v>
      </c>
      <c r="AG87" s="90">
        <f>VLOOKUP(ужин8,таб,30,FALSE)</f>
        <v>0</v>
      </c>
      <c r="AH87" s="112">
        <v>613068</v>
      </c>
      <c r="AI87" s="122">
        <f>AK87/сред</f>
        <v>0</v>
      </c>
      <c r="AJ87" s="123"/>
      <c r="AK87" s="114">
        <f>SUM(G88:AG88)</f>
        <v>0</v>
      </c>
      <c r="AL87" s="114"/>
      <c r="AM87" s="175">
        <f>IF(AK87=0,0,BT117)</f>
        <v>0</v>
      </c>
      <c r="AN87" s="115">
        <f>AK87*AM87</f>
        <v>0</v>
      </c>
      <c r="AP87">
        <v>86</v>
      </c>
      <c r="AQ87" s="61" t="s">
        <v>390</v>
      </c>
      <c r="AR87" s="61"/>
      <c r="AS87" s="60"/>
      <c r="AT87" s="60">
        <v>37.5</v>
      </c>
      <c r="AU87" s="60"/>
      <c r="AV87" s="60"/>
      <c r="AW87" s="60"/>
      <c r="AX87" s="60"/>
      <c r="AY87" s="60"/>
      <c r="AZ87" s="60"/>
      <c r="BA87" s="60"/>
      <c r="BB87" s="60"/>
      <c r="BC87" s="60">
        <v>3</v>
      </c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>
        <v>45.9</v>
      </c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>
        <v>26.3</v>
      </c>
      <c r="CJ87" s="60">
        <v>18.8</v>
      </c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1"/>
      <c r="DD87" s="60"/>
      <c r="DE87" s="61">
        <v>100</v>
      </c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ht="31.5" customHeight="1">
      <c r="A88" s="128"/>
      <c r="B88" s="128"/>
      <c r="C88" s="128"/>
      <c r="D88" s="128"/>
      <c r="E88" s="129"/>
      <c r="F88" s="65" t="s">
        <v>94</v>
      </c>
      <c r="G88" s="75">
        <f aca="true" t="shared" si="95" ref="G88:M88">IF(G87=0,"",завтракл*G87/1000)</f>
      </c>
      <c r="H88" s="46">
        <f t="shared" si="95"/>
      </c>
      <c r="I88" s="45">
        <f t="shared" si="95"/>
      </c>
      <c r="J88" s="46">
        <f t="shared" si="95"/>
      </c>
      <c r="K88" s="45">
        <f t="shared" si="95"/>
      </c>
      <c r="L88" s="45"/>
      <c r="M88" s="45">
        <f t="shared" si="95"/>
      </c>
      <c r="N88" s="85"/>
      <c r="O88" s="47">
        <f aca="true" t="shared" si="96" ref="O88:T88">IF(O87=0,"",обідл*O87/1000)</f>
      </c>
      <c r="P88" s="45">
        <f t="shared" si="96"/>
      </c>
      <c r="Q88" s="46">
        <f t="shared" si="96"/>
      </c>
      <c r="R88" s="45"/>
      <c r="S88" s="46">
        <f t="shared" si="96"/>
      </c>
      <c r="T88" s="45">
        <f t="shared" si="96"/>
      </c>
      <c r="U88" s="46">
        <f>IF(U87=0,"",обідл*U87/1000)</f>
      </c>
      <c r="V88" s="45">
        <f>IF(V87=0,"",обідл*V87/1000)</f>
      </c>
      <c r="W88" s="45">
        <f>IF(W87=0,"",полдникл*W87/1000)</f>
      </c>
      <c r="X88" s="45">
        <f>IF(X87=0,"",полдникл*X87/1000)</f>
      </c>
      <c r="Y88" s="85">
        <f>IF(Y87=0,"",полдникл*Y87/1000)</f>
      </c>
      <c r="Z88" s="47">
        <f aca="true" t="shared" si="97" ref="Z88:AG88">IF(Z87=0,"",ужинл*Z87/1000)</f>
      </c>
      <c r="AA88" s="46">
        <f t="shared" si="97"/>
      </c>
      <c r="AB88" s="45">
        <f t="shared" si="97"/>
      </c>
      <c r="AC88" s="46">
        <f t="shared" si="97"/>
      </c>
      <c r="AD88" s="45">
        <f t="shared" si="97"/>
      </c>
      <c r="AE88" s="46">
        <f t="shared" si="97"/>
      </c>
      <c r="AF88" s="45">
        <f t="shared" si="97"/>
      </c>
      <c r="AG88" s="85">
        <f t="shared" si="97"/>
      </c>
      <c r="AH88" s="113"/>
      <c r="AI88" s="122"/>
      <c r="AJ88" s="123"/>
      <c r="AK88" s="114"/>
      <c r="AL88" s="114"/>
      <c r="AM88" s="176"/>
      <c r="AN88" s="116"/>
      <c r="AP88">
        <v>87</v>
      </c>
      <c r="AQ88" s="61" t="s">
        <v>391</v>
      </c>
      <c r="AR88" s="61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>
        <v>108</v>
      </c>
      <c r="CH88" s="60"/>
      <c r="CI88" s="60">
        <v>18.8</v>
      </c>
      <c r="CJ88" s="60">
        <v>18.8</v>
      </c>
      <c r="CK88" s="60"/>
      <c r="CL88" s="60"/>
      <c r="CM88" s="60">
        <v>7.5</v>
      </c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103">
        <v>150</v>
      </c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ht="30.75" customHeight="1">
      <c r="A89" s="173">
        <v>1</v>
      </c>
      <c r="B89" s="173"/>
      <c r="C89" s="173"/>
      <c r="D89" s="173"/>
      <c r="E89" s="174"/>
      <c r="F89" s="216">
        <v>2</v>
      </c>
      <c r="G89" s="257">
        <v>3</v>
      </c>
      <c r="H89" s="204">
        <v>4</v>
      </c>
      <c r="I89" s="204">
        <v>5</v>
      </c>
      <c r="J89" s="204">
        <v>6</v>
      </c>
      <c r="K89" s="204">
        <v>7</v>
      </c>
      <c r="L89" s="204">
        <v>8</v>
      </c>
      <c r="M89" s="204">
        <v>9</v>
      </c>
      <c r="N89" s="234">
        <v>10</v>
      </c>
      <c r="O89" s="218">
        <v>11</v>
      </c>
      <c r="P89" s="204">
        <v>12</v>
      </c>
      <c r="Q89" s="204">
        <v>13</v>
      </c>
      <c r="R89" s="204">
        <v>14</v>
      </c>
      <c r="S89" s="204">
        <v>15</v>
      </c>
      <c r="T89" s="204">
        <v>16</v>
      </c>
      <c r="U89" s="204">
        <v>17</v>
      </c>
      <c r="V89" s="204">
        <v>18</v>
      </c>
      <c r="W89" s="204">
        <v>19</v>
      </c>
      <c r="X89" s="204">
        <v>20</v>
      </c>
      <c r="Y89" s="234">
        <v>21</v>
      </c>
      <c r="Z89" s="218">
        <v>22</v>
      </c>
      <c r="AA89" s="204">
        <v>23</v>
      </c>
      <c r="AB89" s="204">
        <v>24</v>
      </c>
      <c r="AC89" s="204">
        <v>25</v>
      </c>
      <c r="AD89" s="204">
        <v>26</v>
      </c>
      <c r="AE89" s="204">
        <v>27</v>
      </c>
      <c r="AF89" s="204">
        <v>28</v>
      </c>
      <c r="AG89" s="234">
        <v>29</v>
      </c>
      <c r="AH89" s="112"/>
      <c r="AI89" s="122"/>
      <c r="AJ89" s="123"/>
      <c r="AK89" s="114"/>
      <c r="AL89" s="114"/>
      <c r="AM89" s="175"/>
      <c r="AN89" s="115"/>
      <c r="AP89">
        <v>88</v>
      </c>
      <c r="AQ89" s="61" t="s">
        <v>392</v>
      </c>
      <c r="AR89" s="61"/>
      <c r="AS89" s="60"/>
      <c r="AT89" s="60"/>
      <c r="AU89" s="60"/>
      <c r="AV89" s="60"/>
      <c r="AW89" s="60"/>
      <c r="AX89" s="60"/>
      <c r="AY89" s="60"/>
      <c r="AZ89" s="60"/>
      <c r="BA89" s="60"/>
      <c r="BB89" s="60">
        <v>16.5</v>
      </c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>
        <v>8.8</v>
      </c>
      <c r="BX89" s="60"/>
      <c r="BY89" s="60"/>
      <c r="BZ89" s="60"/>
      <c r="CA89" s="60"/>
      <c r="CB89" s="60"/>
      <c r="CC89" s="60"/>
      <c r="CD89" s="60"/>
      <c r="CE89" s="60"/>
      <c r="CF89" s="60">
        <v>50</v>
      </c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>
        <v>75</v>
      </c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ht="30.75" customHeight="1">
      <c r="A90" s="173"/>
      <c r="B90" s="173"/>
      <c r="C90" s="173"/>
      <c r="D90" s="173"/>
      <c r="E90" s="174"/>
      <c r="F90" s="222"/>
      <c r="G90" s="258"/>
      <c r="H90" s="205"/>
      <c r="I90" s="205"/>
      <c r="J90" s="205"/>
      <c r="K90" s="205"/>
      <c r="L90" s="205"/>
      <c r="M90" s="205"/>
      <c r="N90" s="235"/>
      <c r="O90" s="224"/>
      <c r="P90" s="205"/>
      <c r="Q90" s="205"/>
      <c r="R90" s="205"/>
      <c r="S90" s="205"/>
      <c r="T90" s="205"/>
      <c r="U90" s="205"/>
      <c r="V90" s="205"/>
      <c r="W90" s="205"/>
      <c r="X90" s="205"/>
      <c r="Y90" s="235"/>
      <c r="Z90" s="224"/>
      <c r="AA90" s="205"/>
      <c r="AB90" s="205"/>
      <c r="AC90" s="205"/>
      <c r="AD90" s="205"/>
      <c r="AE90" s="205"/>
      <c r="AF90" s="205"/>
      <c r="AG90" s="235"/>
      <c r="AH90" s="113"/>
      <c r="AI90" s="122"/>
      <c r="AJ90" s="123"/>
      <c r="AK90" s="114"/>
      <c r="AL90" s="114"/>
      <c r="AM90" s="176"/>
      <c r="AN90" s="116"/>
      <c r="AP90">
        <v>89</v>
      </c>
      <c r="AQ90" s="61" t="s">
        <v>393</v>
      </c>
      <c r="AR90" s="61"/>
      <c r="AS90" s="60"/>
      <c r="AT90" s="60"/>
      <c r="AU90" s="60"/>
      <c r="AV90" s="60"/>
      <c r="AW90" s="60"/>
      <c r="AX90" s="60"/>
      <c r="AY90" s="60">
        <v>16</v>
      </c>
      <c r="AZ90" s="60">
        <v>2</v>
      </c>
      <c r="BA90" s="60"/>
      <c r="BB90" s="60"/>
      <c r="BC90" s="60">
        <v>1</v>
      </c>
      <c r="BD90" s="60"/>
      <c r="BE90" s="60"/>
      <c r="BF90" s="60">
        <v>70</v>
      </c>
      <c r="BG90" s="60"/>
      <c r="BH90" s="60"/>
      <c r="BI90" s="60"/>
      <c r="BJ90" s="60"/>
      <c r="BK90" s="60"/>
      <c r="BL90" s="60">
        <v>4.5</v>
      </c>
      <c r="BM90" s="60"/>
      <c r="BN90" s="60"/>
      <c r="BO90" s="60">
        <v>20</v>
      </c>
      <c r="BP90" s="60"/>
      <c r="BQ90" s="60"/>
      <c r="BR90" s="60"/>
      <c r="BS90" s="60"/>
      <c r="BT90" s="60"/>
      <c r="BU90" s="60"/>
      <c r="BV90" s="60"/>
      <c r="BW90" s="60">
        <v>2.5</v>
      </c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>
        <v>100</v>
      </c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ht="30.75" customHeight="1">
      <c r="A91" s="153" t="s">
        <v>0</v>
      </c>
      <c r="B91" s="153"/>
      <c r="C91" s="153"/>
      <c r="D91" s="153"/>
      <c r="E91" s="154"/>
      <c r="F91" s="68" t="s">
        <v>93</v>
      </c>
      <c r="G91" s="76">
        <f>VLOOKUP(завтрак1,таб,31,FALSE)</f>
        <v>0</v>
      </c>
      <c r="H91" s="36">
        <f>VLOOKUP(завтрак2,таб,31,FALSE)</f>
        <v>0</v>
      </c>
      <c r="I91" s="37">
        <f>VLOOKUP(завтрак3,таб,31,FALSE)</f>
        <v>0</v>
      </c>
      <c r="J91" s="36">
        <f>VLOOKUP(завтрак4,таб,31,FALSE)</f>
        <v>0</v>
      </c>
      <c r="K91" s="37">
        <f>VLOOKUP(завтрак5,таб,31,FALSE)</f>
        <v>0</v>
      </c>
      <c r="L91" s="37"/>
      <c r="M91" s="27">
        <f>VLOOKUP(завтрак7,таб,31,FALSE)</f>
        <v>0</v>
      </c>
      <c r="N91" s="84"/>
      <c r="O91" s="38">
        <f>VLOOKUP(обед1,таб,31,FALSE)</f>
        <v>0</v>
      </c>
      <c r="P91" s="37">
        <f>VLOOKUP(обед2,таб,31,FALSE)</f>
        <v>0</v>
      </c>
      <c r="Q91" s="36">
        <f>VLOOKUP(обед3,таб,31,FALSE)</f>
        <v>0</v>
      </c>
      <c r="R91" s="37"/>
      <c r="S91" s="36">
        <f>VLOOKUP(обед5,таб,31,FALSE)</f>
        <v>0</v>
      </c>
      <c r="T91" s="37">
        <f>VLOOKUP(обед6,таб,31,FALSE)</f>
        <v>0</v>
      </c>
      <c r="U91" s="36">
        <f>VLOOKUP(обед7,таб,31,FALSE)</f>
        <v>0</v>
      </c>
      <c r="V91" s="37">
        <f>VLOOKUP(обед8,таб,31,FALSE)</f>
        <v>0</v>
      </c>
      <c r="W91" s="37">
        <f>VLOOKUP(полдник1,таб,31,FALSE)</f>
        <v>0</v>
      </c>
      <c r="X91" s="37">
        <f>VLOOKUP(полдник2,таб,31,FALSE)</f>
        <v>0</v>
      </c>
      <c r="Y91" s="91">
        <f>VLOOKUP(полдник3,таб,31,FALSE)</f>
        <v>0</v>
      </c>
      <c r="Z91" s="38">
        <f>VLOOKUP(ужин1,таб,31,FALSE)</f>
        <v>0</v>
      </c>
      <c r="AA91" s="36">
        <f>VLOOKUP(ужин2,таб,31,FALSE)</f>
        <v>0</v>
      </c>
      <c r="AB91" s="37">
        <f>VLOOKUP(ужин3,таб,31,FALSE)</f>
        <v>0</v>
      </c>
      <c r="AC91" s="36">
        <f>VLOOKUP(ужин4,таб,31,FALSE)</f>
        <v>0</v>
      </c>
      <c r="AD91" s="37"/>
      <c r="AE91" s="36">
        <f>VLOOKUP(ужин6,таб,31,FALSE)</f>
        <v>0</v>
      </c>
      <c r="AF91" s="37">
        <f>VLOOKUP(ужин7,таб,31,FALSE)</f>
        <v>0</v>
      </c>
      <c r="AG91" s="91">
        <f>VLOOKUP(ужин8,таб,31,FALSE)</f>
        <v>0</v>
      </c>
      <c r="AH91" s="112">
        <v>613072</v>
      </c>
      <c r="AI91" s="177">
        <f>AK91/сред</f>
        <v>0</v>
      </c>
      <c r="AJ91" s="178"/>
      <c r="AK91" s="116">
        <f>SUM(G92:AG92)</f>
        <v>0</v>
      </c>
      <c r="AL91" s="116"/>
      <c r="AM91" s="175">
        <f>IF(AK91=0,0,BU117)</f>
        <v>0</v>
      </c>
      <c r="AN91" s="115">
        <f>AK91*AM91</f>
        <v>0</v>
      </c>
      <c r="AP91">
        <v>90</v>
      </c>
      <c r="AQ91" s="61" t="s">
        <v>394</v>
      </c>
      <c r="AR91" s="61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>
        <v>4.5</v>
      </c>
      <c r="BD91" s="60">
        <v>30</v>
      </c>
      <c r="BE91" s="60"/>
      <c r="BF91" s="60"/>
      <c r="BG91" s="60"/>
      <c r="BH91" s="60"/>
      <c r="BI91" s="60"/>
      <c r="BJ91" s="60">
        <v>0.1</v>
      </c>
      <c r="BK91" s="60"/>
      <c r="BL91" s="60">
        <v>20.3</v>
      </c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>
        <v>2.3</v>
      </c>
      <c r="BX91" s="60"/>
      <c r="BY91" s="60"/>
      <c r="BZ91" s="60"/>
      <c r="CA91" s="60"/>
      <c r="CB91" s="60"/>
      <c r="CC91" s="60"/>
      <c r="CD91" s="60"/>
      <c r="CE91" s="60"/>
      <c r="CF91" s="60">
        <v>29.3</v>
      </c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>
        <v>7.5</v>
      </c>
      <c r="CW91" s="60"/>
      <c r="CX91" s="60"/>
      <c r="CY91" s="60"/>
      <c r="CZ91" s="60"/>
      <c r="DA91" s="60"/>
      <c r="DB91" s="60"/>
      <c r="DC91" s="60"/>
      <c r="DD91" s="60"/>
      <c r="DE91" s="60">
        <v>75</v>
      </c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ht="30.75" customHeight="1">
      <c r="A92" s="157"/>
      <c r="B92" s="157"/>
      <c r="C92" s="157"/>
      <c r="D92" s="157"/>
      <c r="E92" s="158"/>
      <c r="F92" s="65" t="s">
        <v>94</v>
      </c>
      <c r="G92" s="77">
        <f aca="true" t="shared" si="98" ref="G92:M92">IF(G91=0,"",завтракл*G91/1000)</f>
      </c>
      <c r="H92" s="48">
        <f t="shared" si="98"/>
      </c>
      <c r="I92" s="44">
        <f t="shared" si="98"/>
      </c>
      <c r="J92" s="48">
        <f t="shared" si="98"/>
      </c>
      <c r="K92" s="44">
        <f t="shared" si="98"/>
      </c>
      <c r="L92" s="44"/>
      <c r="M92" s="45">
        <f t="shared" si="98"/>
      </c>
      <c r="N92" s="85"/>
      <c r="O92" s="49">
        <f aca="true" t="shared" si="99" ref="O92:V92">IF(O91=0,"",обідл*O91/1000)</f>
      </c>
      <c r="P92" s="44">
        <f t="shared" si="99"/>
      </c>
      <c r="Q92" s="48">
        <f t="shared" si="99"/>
      </c>
      <c r="R92" s="44"/>
      <c r="S92" s="48">
        <f t="shared" si="99"/>
      </c>
      <c r="T92" s="44">
        <f t="shared" si="99"/>
      </c>
      <c r="U92" s="48">
        <f t="shared" si="99"/>
      </c>
      <c r="V92" s="44">
        <f t="shared" si="99"/>
      </c>
      <c r="W92" s="44">
        <f>IF(W91=0,"",полдникл*W91/1000)</f>
      </c>
      <c r="X92" s="44">
        <f>IF(X91=0,"",полдникл*X91/1000)</f>
      </c>
      <c r="Y92" s="88">
        <f>IF(Y91=0,"",полдникл*Y91/1000)</f>
      </c>
      <c r="Z92" s="49">
        <f aca="true" t="shared" si="100" ref="Z92:AG92">IF(Z91=0,"",ужинл*Z91/1000)</f>
      </c>
      <c r="AA92" s="48">
        <f t="shared" si="100"/>
      </c>
      <c r="AB92" s="44">
        <f t="shared" si="100"/>
      </c>
      <c r="AC92" s="48">
        <f t="shared" si="100"/>
      </c>
      <c r="AD92" s="44"/>
      <c r="AE92" s="48">
        <f t="shared" si="100"/>
      </c>
      <c r="AF92" s="44">
        <f t="shared" si="100"/>
      </c>
      <c r="AG92" s="88">
        <f t="shared" si="100"/>
      </c>
      <c r="AH92" s="113"/>
      <c r="AI92" s="122"/>
      <c r="AJ92" s="123"/>
      <c r="AK92" s="114"/>
      <c r="AL92" s="114"/>
      <c r="AM92" s="176"/>
      <c r="AN92" s="116"/>
      <c r="AP92">
        <v>91</v>
      </c>
      <c r="AQ92" s="61" t="s">
        <v>395</v>
      </c>
      <c r="AR92" s="61"/>
      <c r="AS92" s="60"/>
      <c r="AT92" s="60"/>
      <c r="AU92" s="60"/>
      <c r="AV92" s="60"/>
      <c r="AW92" s="60"/>
      <c r="AX92" s="60"/>
      <c r="AY92" s="60"/>
      <c r="AZ92" s="60"/>
      <c r="BA92" s="60"/>
      <c r="BB92" s="60">
        <v>0.8</v>
      </c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>
        <v>1</v>
      </c>
      <c r="BN92" s="60"/>
      <c r="BO92" s="60"/>
      <c r="BP92" s="60"/>
      <c r="BQ92" s="60"/>
      <c r="BR92" s="60"/>
      <c r="BS92" s="60"/>
      <c r="BT92" s="60"/>
      <c r="BU92" s="60"/>
      <c r="BV92" s="60"/>
      <c r="BW92" s="60">
        <v>3.4</v>
      </c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>
        <v>30</v>
      </c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ht="30.75" customHeight="1">
      <c r="A93" s="128" t="s">
        <v>129</v>
      </c>
      <c r="B93" s="128"/>
      <c r="C93" s="128"/>
      <c r="D93" s="128"/>
      <c r="E93" s="129"/>
      <c r="F93" s="68" t="s">
        <v>93</v>
      </c>
      <c r="G93" s="74">
        <f>VLOOKUP(завтрак1,таб,69,FALSE)</f>
        <v>0</v>
      </c>
      <c r="H93" s="33">
        <f>VLOOKUP(завтрак2,таб,69,FALSE)</f>
        <v>0</v>
      </c>
      <c r="I93" s="34">
        <f>VLOOKUP(завтрак3,таб,69,FALSE)</f>
        <v>0</v>
      </c>
      <c r="J93" s="33">
        <f>VLOOKUP(завтрак4,таб,69,FALSE)</f>
        <v>0</v>
      </c>
      <c r="K93" s="34">
        <f>VLOOKUP(завтрак5,таб,69,FALSE)</f>
        <v>0</v>
      </c>
      <c r="L93" s="34"/>
      <c r="M93" s="27">
        <f>VLOOKUP(завтрак7,таб,69,FALSE)</f>
        <v>0</v>
      </c>
      <c r="N93" s="84"/>
      <c r="O93" s="35">
        <f>VLOOKUP(обед1,таб,69,FALSE)</f>
        <v>0</v>
      </c>
      <c r="P93" s="34">
        <f>VLOOKUP(обед2,таб,69,FALSE)</f>
        <v>0</v>
      </c>
      <c r="Q93" s="33">
        <f>VLOOKUP(обед3,таб,69,FALSE)</f>
        <v>0</v>
      </c>
      <c r="R93" s="34"/>
      <c r="S93" s="33">
        <f>VLOOKUP(обед5,таб,69,FALSE)</f>
        <v>0</v>
      </c>
      <c r="T93" s="34">
        <f>VLOOKUP(обед6,таб,69,FALSE)</f>
        <v>0</v>
      </c>
      <c r="U93" s="33">
        <f>VLOOKUP(обед7,таб,69,FALSE)</f>
        <v>0</v>
      </c>
      <c r="V93" s="34">
        <f>VLOOKUP(обед8,таб,69,FALSE)</f>
        <v>0</v>
      </c>
      <c r="W93" s="34">
        <f>VLOOKUP(полдник1,таб,69,FALSE)</f>
        <v>0</v>
      </c>
      <c r="X93" s="34">
        <f>VLOOKUP(полдник2,таб,69,FALSE)</f>
        <v>0</v>
      </c>
      <c r="Y93" s="90">
        <f>VLOOKUP(полдник3,таб,69,FALSE)</f>
        <v>0</v>
      </c>
      <c r="Z93" s="35">
        <f>VLOOKUP(ужин1,таб,69,FALSE)</f>
        <v>0</v>
      </c>
      <c r="AA93" s="33">
        <f>VLOOKUP(ужин2,таб,69,FALSE)</f>
        <v>0</v>
      </c>
      <c r="AB93" s="34">
        <f>VLOOKUP(ужин3,таб,69,FALSE)</f>
        <v>0</v>
      </c>
      <c r="AC93" s="33">
        <f>VLOOKUP(ужин4,таб,69,FALSE)</f>
        <v>0</v>
      </c>
      <c r="AD93" s="34"/>
      <c r="AE93" s="33">
        <f>VLOOKUP(ужин6,таб,69,FALSE)</f>
        <v>0</v>
      </c>
      <c r="AF93" s="34">
        <f>VLOOKUP(ужин7,таб,69,FALSE)</f>
        <v>0</v>
      </c>
      <c r="AG93" s="90">
        <f>VLOOKUP(ужин8,таб,69,FALSE)</f>
        <v>0</v>
      </c>
      <c r="AH93" s="112"/>
      <c r="AI93" s="122">
        <f>AK93/сред</f>
        <v>0</v>
      </c>
      <c r="AJ93" s="123"/>
      <c r="AK93" s="114">
        <f>SUM(G94:AG94)</f>
        <v>0</v>
      </c>
      <c r="AL93" s="114"/>
      <c r="AM93" s="115">
        <f>IF(AK93=0,0,DG117)</f>
        <v>0</v>
      </c>
      <c r="AN93" s="115">
        <f>AK93*AM93</f>
        <v>0</v>
      </c>
      <c r="AP93">
        <v>92</v>
      </c>
      <c r="AQ93" s="61" t="s">
        <v>396</v>
      </c>
      <c r="AR93" s="61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>
        <v>31.5</v>
      </c>
      <c r="BW93" s="60">
        <v>0.8</v>
      </c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>
        <v>8</v>
      </c>
      <c r="CJ93" s="60">
        <v>31</v>
      </c>
      <c r="CK93" s="60"/>
      <c r="CL93" s="60"/>
      <c r="CM93" s="60">
        <v>10</v>
      </c>
      <c r="CN93" s="60"/>
      <c r="CO93" s="60"/>
      <c r="CP93" s="60">
        <v>0.1</v>
      </c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>
        <v>30</v>
      </c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ht="30.75" customHeight="1">
      <c r="A94" s="128"/>
      <c r="B94" s="128"/>
      <c r="C94" s="128"/>
      <c r="D94" s="128"/>
      <c r="E94" s="129"/>
      <c r="F94" s="65" t="s">
        <v>94</v>
      </c>
      <c r="G94" s="75">
        <f aca="true" t="shared" si="101" ref="G94:M94">IF(G93=0,"",завтракл*G93/1000)</f>
      </c>
      <c r="H94" s="46">
        <f t="shared" si="101"/>
      </c>
      <c r="I94" s="45">
        <f t="shared" si="101"/>
      </c>
      <c r="J94" s="46">
        <f t="shared" si="101"/>
      </c>
      <c r="K94" s="45">
        <f t="shared" si="101"/>
      </c>
      <c r="L94" s="45"/>
      <c r="M94" s="45">
        <f t="shared" si="101"/>
      </c>
      <c r="N94" s="85"/>
      <c r="O94" s="47">
        <f aca="true" t="shared" si="102" ref="O94:V94">IF(O93=0,"",обідл*O93/1000)</f>
      </c>
      <c r="P94" s="45">
        <f t="shared" si="102"/>
      </c>
      <c r="Q94" s="46">
        <f t="shared" si="102"/>
      </c>
      <c r="R94" s="45"/>
      <c r="S94" s="46">
        <f t="shared" si="102"/>
      </c>
      <c r="T94" s="45">
        <f t="shared" si="102"/>
      </c>
      <c r="U94" s="46">
        <f t="shared" si="102"/>
      </c>
      <c r="V94" s="45">
        <f t="shared" si="102"/>
      </c>
      <c r="W94" s="45">
        <f>IF(W93=0,"",полдникл*W93/1000)</f>
      </c>
      <c r="X94" s="45">
        <f>IF(X93=0,"",полдникл*X93/1000)</f>
      </c>
      <c r="Y94" s="85">
        <f>IF(Y93=0,"",полдникл*Y93/1000)</f>
      </c>
      <c r="Z94" s="47">
        <f aca="true" t="shared" si="103" ref="Z94:AG94">IF(Z93=0,"",ужинл*Z93/1000)</f>
      </c>
      <c r="AA94" s="46">
        <f t="shared" si="103"/>
      </c>
      <c r="AB94" s="45">
        <f t="shared" si="103"/>
      </c>
      <c r="AC94" s="46">
        <f t="shared" si="103"/>
      </c>
      <c r="AD94" s="45"/>
      <c r="AE94" s="46">
        <f t="shared" si="103"/>
      </c>
      <c r="AF94" s="45">
        <f t="shared" si="103"/>
      </c>
      <c r="AG94" s="85">
        <f t="shared" si="103"/>
      </c>
      <c r="AH94" s="113"/>
      <c r="AI94" s="122"/>
      <c r="AJ94" s="123"/>
      <c r="AK94" s="114"/>
      <c r="AL94" s="114"/>
      <c r="AM94" s="116"/>
      <c r="AN94" s="116"/>
      <c r="AP94">
        <v>93</v>
      </c>
      <c r="AQ94" s="61" t="s">
        <v>397</v>
      </c>
      <c r="AR94" s="61"/>
      <c r="AS94" s="60"/>
      <c r="AT94" s="60"/>
      <c r="AU94" s="60"/>
      <c r="AV94" s="60"/>
      <c r="AW94" s="60"/>
      <c r="AX94" s="60"/>
      <c r="AY94" s="60"/>
      <c r="AZ94" s="60"/>
      <c r="BA94" s="60">
        <v>1.7</v>
      </c>
      <c r="BB94" s="60"/>
      <c r="BC94" s="60">
        <v>2.8</v>
      </c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>
        <v>30</v>
      </c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ht="30.75" customHeight="1">
      <c r="A95" s="153" t="s">
        <v>128</v>
      </c>
      <c r="B95" s="153"/>
      <c r="C95" s="153"/>
      <c r="D95" s="153"/>
      <c r="E95" s="154"/>
      <c r="F95" s="68" t="s">
        <v>93</v>
      </c>
      <c r="G95" s="76">
        <f>VLOOKUP(завтрак1,таб,32,FALSE)</f>
        <v>0</v>
      </c>
      <c r="H95" s="36">
        <f>VLOOKUP(завтрак2,таб,32,FALSE)</f>
        <v>0</v>
      </c>
      <c r="I95" s="37">
        <f>VLOOKUP(завтрак3,таб,32,FALSE)</f>
        <v>0</v>
      </c>
      <c r="J95" s="36">
        <f>VLOOKUP(завтрак4,таб,32,FALSE)</f>
        <v>0</v>
      </c>
      <c r="K95" s="37">
        <f>VLOOKUP(завтрак5,таб,32,FALSE)</f>
        <v>0</v>
      </c>
      <c r="L95" s="37"/>
      <c r="M95" s="27">
        <f>VLOOKUP(завтрак7,таб,32,FALSE)</f>
        <v>0</v>
      </c>
      <c r="N95" s="84"/>
      <c r="O95" s="38">
        <f>VLOOKUP(обед1,таб,32,FALSE)</f>
        <v>0</v>
      </c>
      <c r="P95" s="37">
        <f>VLOOKUP(обед2,таб,32,FALSE)</f>
        <v>0</v>
      </c>
      <c r="Q95" s="36">
        <f>VLOOKUP(обед3,таб,32,FALSE)</f>
        <v>0</v>
      </c>
      <c r="R95" s="37"/>
      <c r="S95" s="36">
        <f>VLOOKUP(обед5,таб,32,FALSE)</f>
        <v>0</v>
      </c>
      <c r="T95" s="37">
        <f>VLOOKUP(обед6,таб,32,FALSE)</f>
        <v>0</v>
      </c>
      <c r="U95" s="36">
        <f>VLOOKUP(обед7,таб,32,FALSE)</f>
        <v>0</v>
      </c>
      <c r="V95" s="37">
        <f>VLOOKUP(обед8,таб,32,FALSE)</f>
        <v>0</v>
      </c>
      <c r="W95" s="37">
        <f>VLOOKUP(полдник1,таб,32,FALSE)</f>
        <v>0</v>
      </c>
      <c r="X95" s="37">
        <f>VLOOKUP(полдник2,таб,32,FALSE)</f>
        <v>0</v>
      </c>
      <c r="Y95" s="91">
        <f>VLOOKUP(полдник3,таб,32,FALSE)</f>
        <v>0</v>
      </c>
      <c r="Z95" s="38">
        <f>VLOOKUP(ужин1,таб,32,FALSE)</f>
        <v>0</v>
      </c>
      <c r="AA95" s="36">
        <f>VLOOKUP(ужин2,таб,32,FALSE)</f>
        <v>0</v>
      </c>
      <c r="AB95" s="37">
        <f>VLOOKUP(ужин3,таб,32,FALSE)</f>
        <v>0</v>
      </c>
      <c r="AC95" s="36">
        <f>VLOOKUP(ужин4,таб,32,FALSE)</f>
        <v>0</v>
      </c>
      <c r="AD95" s="37"/>
      <c r="AE95" s="36">
        <f>VLOOKUP(ужин6,таб,32,FALSE)</f>
        <v>0</v>
      </c>
      <c r="AF95" s="37">
        <f>VLOOKUP(ужин7,таб,32,FALSE)</f>
        <v>0</v>
      </c>
      <c r="AG95" s="91">
        <f>VLOOKUP(ужин8,таб,32,FALSE)</f>
        <v>0</v>
      </c>
      <c r="AH95" s="112">
        <v>614001</v>
      </c>
      <c r="AI95" s="122">
        <f>AK95/сред</f>
        <v>0</v>
      </c>
      <c r="AJ95" s="123"/>
      <c r="AK95" s="114">
        <f>SUM(G96:AG96)</f>
        <v>0</v>
      </c>
      <c r="AL95" s="114"/>
      <c r="AM95" s="175">
        <f>IF(AK95=0,0,BV117)</f>
        <v>0</v>
      </c>
      <c r="AN95" s="115">
        <f>AK95*AM95</f>
        <v>0</v>
      </c>
      <c r="AP95">
        <v>94</v>
      </c>
      <c r="AQ95" s="61" t="s">
        <v>398</v>
      </c>
      <c r="AR95" s="61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>
        <v>0.8</v>
      </c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>
        <v>7.5</v>
      </c>
      <c r="CI95" s="60"/>
      <c r="CJ95" s="60">
        <v>3.8</v>
      </c>
      <c r="CK95" s="60"/>
      <c r="CL95" s="60"/>
      <c r="CM95" s="60">
        <v>3</v>
      </c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>
        <v>30</v>
      </c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ht="30.75" customHeight="1">
      <c r="A96" s="157"/>
      <c r="B96" s="157"/>
      <c r="C96" s="157"/>
      <c r="D96" s="157"/>
      <c r="E96" s="158"/>
      <c r="F96" s="65" t="s">
        <v>94</v>
      </c>
      <c r="G96" s="77">
        <f aca="true" t="shared" si="104" ref="G96:M96">IF(G95=0,"",завтракл*G95/1000)</f>
      </c>
      <c r="H96" s="48">
        <f t="shared" si="104"/>
      </c>
      <c r="I96" s="44">
        <f t="shared" si="104"/>
      </c>
      <c r="J96" s="48">
        <f t="shared" si="104"/>
      </c>
      <c r="K96" s="44">
        <f t="shared" si="104"/>
      </c>
      <c r="L96" s="44"/>
      <c r="M96" s="45">
        <f t="shared" si="104"/>
      </c>
      <c r="N96" s="85"/>
      <c r="O96" s="49">
        <f aca="true" t="shared" si="105" ref="O96:V96">IF(O95=0,"",обідл*O95/1000)</f>
      </c>
      <c r="P96" s="44">
        <f t="shared" si="105"/>
      </c>
      <c r="Q96" s="48">
        <f t="shared" si="105"/>
      </c>
      <c r="R96" s="44"/>
      <c r="S96" s="48">
        <f t="shared" si="105"/>
      </c>
      <c r="T96" s="44">
        <f t="shared" si="105"/>
      </c>
      <c r="U96" s="48">
        <f t="shared" si="105"/>
      </c>
      <c r="V96" s="44">
        <f t="shared" si="105"/>
      </c>
      <c r="W96" s="44">
        <f>IF(W95=0,"",полдникл*W95/1000)</f>
      </c>
      <c r="X96" s="44">
        <f>IF(X95=0,"",полдникл*X95/1000)</f>
      </c>
      <c r="Y96" s="88">
        <f>IF(Y95=0,"",полдникл*Y95/1000)</f>
      </c>
      <c r="Z96" s="49">
        <f aca="true" t="shared" si="106" ref="Z96:AG96">IF(Z95=0,"",ужинл*Z95/1000)</f>
      </c>
      <c r="AA96" s="48">
        <f t="shared" si="106"/>
      </c>
      <c r="AB96" s="44">
        <f t="shared" si="106"/>
      </c>
      <c r="AC96" s="48">
        <f t="shared" si="106"/>
      </c>
      <c r="AD96" s="44"/>
      <c r="AE96" s="48">
        <f t="shared" si="106"/>
      </c>
      <c r="AF96" s="44">
        <f t="shared" si="106"/>
      </c>
      <c r="AG96" s="88">
        <f t="shared" si="106"/>
      </c>
      <c r="AH96" s="113"/>
      <c r="AI96" s="122"/>
      <c r="AJ96" s="123"/>
      <c r="AK96" s="114"/>
      <c r="AL96" s="114"/>
      <c r="AM96" s="176"/>
      <c r="AN96" s="116"/>
      <c r="AP96">
        <v>95</v>
      </c>
      <c r="AQ96" s="61" t="s">
        <v>399</v>
      </c>
      <c r="AR96" s="61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>
        <v>0.9</v>
      </c>
      <c r="BN96" s="60"/>
      <c r="BO96" s="60"/>
      <c r="BP96" s="60"/>
      <c r="BQ96" s="60"/>
      <c r="BR96" s="60"/>
      <c r="BS96" s="60"/>
      <c r="BT96" s="60"/>
      <c r="BU96" s="60"/>
      <c r="BV96" s="60"/>
      <c r="BW96" s="60">
        <v>2.5</v>
      </c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>
        <v>6.4</v>
      </c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>
        <v>30</v>
      </c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ht="30.75" customHeight="1">
      <c r="A97" s="128" t="s">
        <v>26</v>
      </c>
      <c r="B97" s="128"/>
      <c r="C97" s="128"/>
      <c r="D97" s="128"/>
      <c r="E97" s="129"/>
      <c r="F97" s="68" t="s">
        <v>93</v>
      </c>
      <c r="G97" s="74">
        <f>VLOOKUP(завтрак1,таб,33,FALSE)</f>
        <v>0</v>
      </c>
      <c r="H97" s="33">
        <f>VLOOKUP(завтрак2,таб,33,FALSE)</f>
        <v>0</v>
      </c>
      <c r="I97" s="34">
        <v>10</v>
      </c>
      <c r="J97" s="33">
        <f>VLOOKUP(завтрак4,таб,33,FALSE)</f>
        <v>0</v>
      </c>
      <c r="K97" s="34">
        <f>VLOOKUP(завтрак5,таб,33,FALSE)</f>
        <v>0</v>
      </c>
      <c r="L97" s="34"/>
      <c r="M97" s="27">
        <f>VLOOKUP(завтрак7,таб,33,FALSE)</f>
        <v>0</v>
      </c>
      <c r="N97" s="84"/>
      <c r="O97" s="35">
        <f>VLOOKUP(обед1,таб,33,FALSE)</f>
        <v>0</v>
      </c>
      <c r="P97" s="34">
        <f>VLOOKUP(обед2,таб,33,FALSE)</f>
        <v>0</v>
      </c>
      <c r="Q97" s="33">
        <f>VLOOKUP(обед3,таб,33,FALSE)</f>
        <v>0</v>
      </c>
      <c r="R97" s="34"/>
      <c r="S97" s="33">
        <f>VLOOKUP(обед5,таб,33,FALSE)</f>
        <v>0</v>
      </c>
      <c r="T97" s="34">
        <f>VLOOKUP(обед6,таб,33,FALSE)</f>
        <v>0</v>
      </c>
      <c r="U97" s="33">
        <f>VLOOKUP(обед7,таб,33,FALSE)</f>
        <v>0</v>
      </c>
      <c r="V97" s="34">
        <f>VLOOKUP(обед8,таб,33,FALSE)</f>
        <v>0</v>
      </c>
      <c r="W97" s="34">
        <v>10</v>
      </c>
      <c r="X97" s="34">
        <f>VLOOKUP(полдник2,таб,33,FALSE)</f>
        <v>0</v>
      </c>
      <c r="Y97" s="90">
        <f>VLOOKUP(полдник3,таб,33,FALSE)</f>
        <v>0</v>
      </c>
      <c r="Z97" s="35">
        <f>VLOOKUP(ужин1,таб,33,FALSE)</f>
        <v>1.5</v>
      </c>
      <c r="AA97" s="33">
        <f>VLOOKUP(ужин2,таб,33,FALSE)</f>
        <v>1.5</v>
      </c>
      <c r="AB97" s="34">
        <f>VLOOKUP(ужин3,таб,33,FALSE)</f>
        <v>0</v>
      </c>
      <c r="AC97" s="33"/>
      <c r="AD97" s="34"/>
      <c r="AE97" s="33">
        <f>VLOOKUP(ужин6,таб,33,FALSE)</f>
        <v>0</v>
      </c>
      <c r="AF97" s="34">
        <f>VLOOKUP(ужин7,таб,33,FALSE)</f>
        <v>0</v>
      </c>
      <c r="AG97" s="90">
        <f>VLOOKUP(ужин8,таб,33,FALSE)</f>
        <v>0</v>
      </c>
      <c r="AH97" s="112">
        <v>614002</v>
      </c>
      <c r="AI97" s="122">
        <f>AK97/сред</f>
        <v>0.023200000000000005</v>
      </c>
      <c r="AJ97" s="123"/>
      <c r="AK97" s="114">
        <f>SUM(G98:AG98)</f>
        <v>0.4640000000000001</v>
      </c>
      <c r="AL97" s="114"/>
      <c r="AM97" s="175">
        <v>26.4</v>
      </c>
      <c r="AN97" s="115">
        <f>AK97*AM97</f>
        <v>12.249600000000001</v>
      </c>
      <c r="AP97">
        <v>96</v>
      </c>
      <c r="AQ97" s="61" t="s">
        <v>400</v>
      </c>
      <c r="AR97" s="61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>
        <v>1.2</v>
      </c>
      <c r="BD97" s="60"/>
      <c r="BE97" s="60">
        <v>20</v>
      </c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>
        <v>12</v>
      </c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>
        <v>32.2</v>
      </c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>
        <v>0.1</v>
      </c>
      <c r="DD97" s="60"/>
      <c r="DE97" s="60">
        <v>30</v>
      </c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ht="30.75" customHeight="1">
      <c r="A98" s="128"/>
      <c r="B98" s="128"/>
      <c r="C98" s="128"/>
      <c r="D98" s="128"/>
      <c r="E98" s="129"/>
      <c r="F98" s="65" t="s">
        <v>94</v>
      </c>
      <c r="G98" s="75">
        <f aca="true" t="shared" si="107" ref="G98:M98">IF(G97=0,"",завтракл*G97/1000)</f>
      </c>
      <c r="H98" s="46">
        <f t="shared" si="107"/>
      </c>
      <c r="I98" s="45">
        <f t="shared" si="107"/>
        <v>0.21</v>
      </c>
      <c r="J98" s="46">
        <f t="shared" si="107"/>
      </c>
      <c r="K98" s="45">
        <f t="shared" si="107"/>
      </c>
      <c r="L98" s="45"/>
      <c r="M98" s="45">
        <f t="shared" si="107"/>
      </c>
      <c r="N98" s="85"/>
      <c r="O98" s="47">
        <f aca="true" t="shared" si="108" ref="O98:V98">IF(O97=0,"",обідл*O97/1000)</f>
      </c>
      <c r="P98" s="45">
        <f t="shared" si="108"/>
      </c>
      <c r="Q98" s="46">
        <f t="shared" si="108"/>
      </c>
      <c r="R98" s="45"/>
      <c r="S98" s="46">
        <f t="shared" si="108"/>
      </c>
      <c r="T98" s="45">
        <f t="shared" si="108"/>
      </c>
      <c r="U98" s="46">
        <f t="shared" si="108"/>
      </c>
      <c r="V98" s="45">
        <f t="shared" si="108"/>
      </c>
      <c r="W98" s="45">
        <f>IF(W97=0,"",полдникл*W97/1000)</f>
        <v>0.2</v>
      </c>
      <c r="X98" s="45">
        <f>IF(X97=0,"",полдникл*X97/1000)</f>
      </c>
      <c r="Y98" s="85">
        <f>IF(Y97=0,"",полдникл*Y97/1000)</f>
      </c>
      <c r="Z98" s="47">
        <f aca="true" t="shared" si="109" ref="Z98:AG98">IF(Z97=0,"",ужинл*Z97/1000)</f>
        <v>0.027</v>
      </c>
      <c r="AA98" s="46">
        <f t="shared" si="109"/>
        <v>0.027</v>
      </c>
      <c r="AB98" s="45">
        <f t="shared" si="109"/>
      </c>
      <c r="AC98" s="46">
        <f t="shared" si="109"/>
      </c>
      <c r="AD98" s="45"/>
      <c r="AE98" s="46">
        <f t="shared" si="109"/>
      </c>
      <c r="AF98" s="45">
        <f t="shared" si="109"/>
      </c>
      <c r="AG98" s="85">
        <f t="shared" si="109"/>
      </c>
      <c r="AH98" s="113"/>
      <c r="AI98" s="122"/>
      <c r="AJ98" s="123"/>
      <c r="AK98" s="114"/>
      <c r="AL98" s="114"/>
      <c r="AM98" s="176"/>
      <c r="AN98" s="116"/>
      <c r="AP98">
        <v>97</v>
      </c>
      <c r="AQ98" s="61" t="s">
        <v>401</v>
      </c>
      <c r="AR98" s="61"/>
      <c r="AS98" s="60"/>
      <c r="AT98" s="60"/>
      <c r="AU98" s="60"/>
      <c r="AV98" s="60"/>
      <c r="AW98" s="60"/>
      <c r="AX98" s="60"/>
      <c r="AY98" s="60"/>
      <c r="AZ98" s="60">
        <v>0.5</v>
      </c>
      <c r="BA98" s="60"/>
      <c r="BB98" s="60"/>
      <c r="BC98" s="60"/>
      <c r="BD98" s="60">
        <v>28.5</v>
      </c>
      <c r="BE98" s="60"/>
      <c r="BF98" s="60"/>
      <c r="BG98" s="60"/>
      <c r="BH98" s="60"/>
      <c r="BI98" s="60"/>
      <c r="BJ98" s="60"/>
      <c r="BK98" s="60"/>
      <c r="BL98" s="60">
        <v>1.6</v>
      </c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>
        <v>30</v>
      </c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ht="30.75" customHeight="1">
      <c r="A99" s="153" t="s">
        <v>27</v>
      </c>
      <c r="B99" s="153"/>
      <c r="C99" s="153"/>
      <c r="D99" s="153"/>
      <c r="E99" s="154"/>
      <c r="F99" s="68" t="s">
        <v>93</v>
      </c>
      <c r="G99" s="76">
        <f>VLOOKUP(завтрак1,таб,34,FALSE)</f>
        <v>0</v>
      </c>
      <c r="H99" s="36">
        <f>VLOOKUP(завтрак2,таб,34,FALSE)</f>
        <v>0</v>
      </c>
      <c r="I99" s="37">
        <f>VLOOKUP(завтрак3,таб,34,FALSE)</f>
        <v>0</v>
      </c>
      <c r="J99" s="36">
        <f>VLOOKUP(завтрак4,таб,34,FALSE)</f>
        <v>0</v>
      </c>
      <c r="K99" s="37">
        <f>VLOOKUP(завтрак5,таб,34,FALSE)</f>
        <v>0</v>
      </c>
      <c r="L99" s="37"/>
      <c r="M99" s="27">
        <f>VLOOKUP(завтрак7,таб,34,FALSE)</f>
        <v>0</v>
      </c>
      <c r="N99" s="84"/>
      <c r="O99" s="38">
        <f>VLOOKUP(обед1,таб,34,FALSE)</f>
        <v>0</v>
      </c>
      <c r="P99" s="37">
        <f>VLOOKUP(обед2,таб,34,FALSE)</f>
        <v>0</v>
      </c>
      <c r="Q99" s="36">
        <f>VLOOKUP(обед3,таб,34,FALSE)</f>
        <v>0</v>
      </c>
      <c r="R99" s="37"/>
      <c r="S99" s="36">
        <f>VLOOKUP(обед5,таб,34,FALSE)</f>
        <v>0</v>
      </c>
      <c r="T99" s="37">
        <f>VLOOKUP(обед6,таб,34,FALSE)</f>
        <v>0</v>
      </c>
      <c r="U99" s="36">
        <f>VLOOKUP(обед7,таб,34,FALSE)</f>
        <v>0</v>
      </c>
      <c r="V99" s="37">
        <f>VLOOKUP(обед8,таб,34,FALSE)</f>
        <v>0</v>
      </c>
      <c r="W99" s="37">
        <f>VLOOKUP(полдник1,таб,34,FALSE)</f>
        <v>0</v>
      </c>
      <c r="X99" s="37">
        <f>VLOOKUP(полдник2,таб,34,FALSE)</f>
        <v>0</v>
      </c>
      <c r="Y99" s="91">
        <f>VLOOKUP(полдник3,таб,34,FALSE)</f>
        <v>0</v>
      </c>
      <c r="Z99" s="38">
        <f>VLOOKUP(ужин1,таб,34,FALSE)</f>
        <v>0</v>
      </c>
      <c r="AA99" s="36">
        <f>VLOOKUP(ужин2,таб,34,FALSE)</f>
        <v>0</v>
      </c>
      <c r="AB99" s="37">
        <f>VLOOKUP(ужин3,таб,34,FALSE)</f>
        <v>0</v>
      </c>
      <c r="AC99" s="36">
        <f>VLOOKUP(ужин4,таб,34,FALSE)</f>
        <v>0</v>
      </c>
      <c r="AD99" s="37"/>
      <c r="AE99" s="36">
        <f>VLOOKUP(ужин6,таб,34,FALSE)</f>
        <v>0</v>
      </c>
      <c r="AF99" s="37">
        <f>VLOOKUP(ужин7,таб,34,FALSE)</f>
        <v>0</v>
      </c>
      <c r="AG99" s="91">
        <f>VLOOKUP(ужин8,таб,34,FALSE)</f>
        <v>0</v>
      </c>
      <c r="AH99" s="112">
        <v>614018</v>
      </c>
      <c r="AI99" s="122">
        <f>AK99/сред</f>
        <v>0</v>
      </c>
      <c r="AJ99" s="123"/>
      <c r="AK99" s="114">
        <f>SUM(G100:AG100)</f>
        <v>0</v>
      </c>
      <c r="AL99" s="114"/>
      <c r="AM99" s="175">
        <f>IF(AK99=0,0,BX117)</f>
        <v>0</v>
      </c>
      <c r="AN99" s="115">
        <f>AK99*AM99</f>
        <v>0</v>
      </c>
      <c r="AP99">
        <v>98</v>
      </c>
      <c r="AQ99" s="61" t="s">
        <v>402</v>
      </c>
      <c r="AR99" s="61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>
        <v>30</v>
      </c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ht="30.75" customHeight="1">
      <c r="A100" s="157"/>
      <c r="B100" s="157"/>
      <c r="C100" s="157"/>
      <c r="D100" s="157"/>
      <c r="E100" s="158"/>
      <c r="F100" s="65" t="s">
        <v>94</v>
      </c>
      <c r="G100" s="77">
        <f aca="true" t="shared" si="110" ref="G100:M100">IF(G99=0,"",завтракл*G99/1000)</f>
      </c>
      <c r="H100" s="48">
        <f t="shared" si="110"/>
      </c>
      <c r="I100" s="44">
        <f t="shared" si="110"/>
      </c>
      <c r="J100" s="48">
        <f t="shared" si="110"/>
      </c>
      <c r="K100" s="44">
        <f t="shared" si="110"/>
      </c>
      <c r="L100" s="44"/>
      <c r="M100" s="45">
        <f t="shared" si="110"/>
      </c>
      <c r="N100" s="85"/>
      <c r="O100" s="49">
        <f aca="true" t="shared" si="111" ref="O100:V100">IF(O99=0,"",обідл*O99/1000)</f>
      </c>
      <c r="P100" s="44">
        <f t="shared" si="111"/>
      </c>
      <c r="Q100" s="48">
        <f t="shared" si="111"/>
      </c>
      <c r="R100" s="44"/>
      <c r="S100" s="48">
        <f t="shared" si="111"/>
      </c>
      <c r="T100" s="44">
        <f t="shared" si="111"/>
      </c>
      <c r="U100" s="48">
        <f t="shared" si="111"/>
      </c>
      <c r="V100" s="44">
        <f t="shared" si="111"/>
      </c>
      <c r="W100" s="44">
        <f>IF(W99=0,"",полдникл*W99/1000)</f>
      </c>
      <c r="X100" s="44">
        <f>IF(X99=0,"",полдникл*X99/1000)</f>
      </c>
      <c r="Y100" s="88">
        <f>IF(Y99=0,"",полдникл*Y99/1000)</f>
      </c>
      <c r="Z100" s="49">
        <f aca="true" t="shared" si="112" ref="Z100:AG100">IF(Z99=0,"",ужинл*Z99/1000)</f>
      </c>
      <c r="AA100" s="48">
        <f t="shared" si="112"/>
      </c>
      <c r="AB100" s="44">
        <f t="shared" si="112"/>
      </c>
      <c r="AC100" s="48">
        <f t="shared" si="112"/>
      </c>
      <c r="AD100" s="44"/>
      <c r="AE100" s="48">
        <f t="shared" si="112"/>
      </c>
      <c r="AF100" s="44">
        <f t="shared" si="112"/>
      </c>
      <c r="AG100" s="88">
        <f t="shared" si="112"/>
      </c>
      <c r="AH100" s="113"/>
      <c r="AI100" s="122"/>
      <c r="AJ100" s="123"/>
      <c r="AK100" s="114"/>
      <c r="AL100" s="114"/>
      <c r="AM100" s="176"/>
      <c r="AN100" s="116"/>
      <c r="AP100">
        <v>99</v>
      </c>
      <c r="AQ100" s="61" t="s">
        <v>403</v>
      </c>
      <c r="AR100" s="61"/>
      <c r="AS100" s="60"/>
      <c r="AT100" s="60"/>
      <c r="AU100" s="60"/>
      <c r="AV100" s="60"/>
      <c r="AW100" s="60"/>
      <c r="AX100" s="60"/>
      <c r="AY100" s="60"/>
      <c r="AZ100" s="60">
        <v>0.4</v>
      </c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>
        <v>0.8</v>
      </c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>
        <v>4.7</v>
      </c>
      <c r="CJ100" s="60">
        <v>4.7</v>
      </c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>
        <v>30</v>
      </c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ht="30.75" customHeight="1">
      <c r="A101" s="128" t="s">
        <v>28</v>
      </c>
      <c r="B101" s="128"/>
      <c r="C101" s="128"/>
      <c r="D101" s="128"/>
      <c r="E101" s="129"/>
      <c r="F101" s="68" t="s">
        <v>93</v>
      </c>
      <c r="G101" s="74">
        <f>VLOOKUP(завтрак1,таб,35,FALSE)</f>
        <v>0</v>
      </c>
      <c r="H101" s="33">
        <f>VLOOKUP(завтрак2,таб,35,FALSE)</f>
        <v>0</v>
      </c>
      <c r="I101" s="34">
        <f>VLOOKUP(завтрак3,таб,35,FALSE)</f>
        <v>0</v>
      </c>
      <c r="J101" s="33">
        <f>VLOOKUP(завтрак4,таб,35,FALSE)</f>
        <v>0</v>
      </c>
      <c r="K101" s="34">
        <f>VLOOKUP(завтрак5,таб,35,FALSE)</f>
        <v>0</v>
      </c>
      <c r="L101" s="34"/>
      <c r="M101" s="27">
        <f>VLOOKUP(завтрак7,таб,35,FALSE)</f>
        <v>0</v>
      </c>
      <c r="N101" s="84"/>
      <c r="O101" s="35">
        <f>VLOOKUP(обед1,таб,35,FALSE)</f>
        <v>0</v>
      </c>
      <c r="P101" s="34">
        <f>VLOOKUP(обед2,таб,35,FALSE)</f>
        <v>0</v>
      </c>
      <c r="Q101" s="33">
        <f>VLOOKUP(обед3,таб,35,FALSE)</f>
        <v>0</v>
      </c>
      <c r="R101" s="34"/>
      <c r="S101" s="33">
        <f>VLOOKUP(обед5,таб,35,FALSE)</f>
        <v>0</v>
      </c>
      <c r="T101" s="34">
        <f>VLOOKUP(обед6,таб,35,FALSE)</f>
        <v>0</v>
      </c>
      <c r="U101" s="33">
        <f>VLOOKUP(обед7,таб,35,FALSE)</f>
        <v>0</v>
      </c>
      <c r="V101" s="34">
        <f>VLOOKUP(обед8,таб,35,FALSE)</f>
        <v>0</v>
      </c>
      <c r="W101" s="34">
        <f>VLOOKUP(полдник1,таб,35,FALSE)</f>
        <v>0</v>
      </c>
      <c r="X101" s="34">
        <f>VLOOKUP(полдник2,таб,35,FALSE)</f>
        <v>0</v>
      </c>
      <c r="Y101" s="90">
        <f>VLOOKUP(полдник3,таб,35,FALSE)</f>
        <v>0</v>
      </c>
      <c r="Z101" s="35">
        <f>VLOOKUP(ужин1,таб,35,FALSE)</f>
        <v>0</v>
      </c>
      <c r="AA101" s="33">
        <f>VLOOKUP(ужин2,таб,35,FALSE)</f>
        <v>0</v>
      </c>
      <c r="AB101" s="34">
        <f>VLOOKUP(ужин3,таб,35,FALSE)</f>
        <v>0</v>
      </c>
      <c r="AC101" s="33">
        <f>VLOOKUP(ужин4,таб,35,FALSE)</f>
        <v>0</v>
      </c>
      <c r="AD101" s="34"/>
      <c r="AE101" s="33">
        <f>VLOOKUP(ужин6,таб,35,FALSE)</f>
        <v>0</v>
      </c>
      <c r="AF101" s="34">
        <f>VLOOKUP(ужин7,таб,35,FALSE)</f>
        <v>0</v>
      </c>
      <c r="AG101" s="90">
        <f>VLOOKUP(ужин8,таб,35,FALSE)</f>
        <v>0</v>
      </c>
      <c r="AH101" s="112">
        <v>614024</v>
      </c>
      <c r="AI101" s="122">
        <f>AK101/сред</f>
        <v>0</v>
      </c>
      <c r="AJ101" s="123"/>
      <c r="AK101" s="114">
        <f>SUM(G102:AG102)</f>
        <v>0</v>
      </c>
      <c r="AL101" s="114"/>
      <c r="AM101" s="175">
        <f>IF(AK101=0,0,BY117)</f>
        <v>0</v>
      </c>
      <c r="AN101" s="115">
        <f>AK101*AM101</f>
        <v>0</v>
      </c>
      <c r="AP101">
        <v>100</v>
      </c>
      <c r="AQ101" s="61" t="s">
        <v>404</v>
      </c>
      <c r="AR101" s="61"/>
      <c r="AS101" s="60"/>
      <c r="AT101" s="60"/>
      <c r="AU101" s="60"/>
      <c r="AV101" s="60"/>
      <c r="AW101" s="60"/>
      <c r="AX101" s="60">
        <v>33</v>
      </c>
      <c r="AY101" s="60"/>
      <c r="AZ101" s="60">
        <v>1</v>
      </c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>
        <v>2</v>
      </c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>
        <v>2</v>
      </c>
      <c r="CJ101" s="60">
        <v>19</v>
      </c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>
        <v>30</v>
      </c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ht="30.75" customHeight="1">
      <c r="A102" s="128"/>
      <c r="B102" s="128"/>
      <c r="C102" s="128"/>
      <c r="D102" s="128"/>
      <c r="E102" s="129"/>
      <c r="F102" s="65" t="s">
        <v>94</v>
      </c>
      <c r="G102" s="75">
        <f aca="true" t="shared" si="113" ref="G102:M102">IF(G101=0,"",завтракл*G101/1000)</f>
      </c>
      <c r="H102" s="46">
        <f t="shared" si="113"/>
      </c>
      <c r="I102" s="45">
        <f t="shared" si="113"/>
      </c>
      <c r="J102" s="46">
        <f t="shared" si="113"/>
      </c>
      <c r="K102" s="45">
        <f t="shared" si="113"/>
      </c>
      <c r="L102" s="45"/>
      <c r="M102" s="45">
        <f t="shared" si="113"/>
      </c>
      <c r="N102" s="85"/>
      <c r="O102" s="47">
        <f aca="true" t="shared" si="114" ref="O102:V102">IF(O101=0,"",обідл*O101/1000)</f>
      </c>
      <c r="P102" s="45">
        <f t="shared" si="114"/>
      </c>
      <c r="Q102" s="46">
        <f t="shared" si="114"/>
      </c>
      <c r="R102" s="45"/>
      <c r="S102" s="46">
        <f t="shared" si="114"/>
      </c>
      <c r="T102" s="45">
        <f t="shared" si="114"/>
      </c>
      <c r="U102" s="46">
        <f t="shared" si="114"/>
      </c>
      <c r="V102" s="45">
        <f t="shared" si="114"/>
      </c>
      <c r="W102" s="45">
        <f>IF(W101=0,"",полдникл*W101/1000)</f>
      </c>
      <c r="X102" s="45">
        <f>IF(X101=0,"",полдникл*X101/1000)</f>
      </c>
      <c r="Y102" s="85">
        <f>IF(Y101=0,"",полдникл*Y101/1000)</f>
      </c>
      <c r="Z102" s="47">
        <f aca="true" t="shared" si="115" ref="Z102:AG102">IF(Z101=0,"",ужинл*Z101/1000)</f>
      </c>
      <c r="AA102" s="46">
        <f t="shared" si="115"/>
      </c>
      <c r="AB102" s="45">
        <f t="shared" si="115"/>
      </c>
      <c r="AC102" s="46">
        <f t="shared" si="115"/>
      </c>
      <c r="AD102" s="45"/>
      <c r="AE102" s="46">
        <f t="shared" si="115"/>
      </c>
      <c r="AF102" s="45">
        <f t="shared" si="115"/>
      </c>
      <c r="AG102" s="85">
        <f t="shared" si="115"/>
      </c>
      <c r="AH102" s="113"/>
      <c r="AI102" s="122"/>
      <c r="AJ102" s="123"/>
      <c r="AK102" s="114"/>
      <c r="AL102" s="114"/>
      <c r="AM102" s="176"/>
      <c r="AN102" s="116"/>
      <c r="AP102">
        <v>101</v>
      </c>
      <c r="AQ102" s="61" t="s">
        <v>405</v>
      </c>
      <c r="AR102" s="61"/>
      <c r="AS102" s="60"/>
      <c r="AT102" s="60"/>
      <c r="AU102" s="60"/>
      <c r="AV102" s="60"/>
      <c r="AW102" s="60"/>
      <c r="AX102" s="60">
        <v>12</v>
      </c>
      <c r="AY102" s="60"/>
      <c r="AZ102" s="60">
        <v>0.8</v>
      </c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>
        <v>0.1</v>
      </c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>
        <v>0.5</v>
      </c>
      <c r="CJ102" s="60">
        <v>5.1</v>
      </c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>
        <v>30</v>
      </c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ht="30.75" customHeight="1">
      <c r="A103" s="153" t="s">
        <v>29</v>
      </c>
      <c r="B103" s="153"/>
      <c r="C103" s="153"/>
      <c r="D103" s="153"/>
      <c r="E103" s="154"/>
      <c r="F103" s="68" t="s">
        <v>93</v>
      </c>
      <c r="G103" s="76">
        <f>VLOOKUP(завтрак1,таб,36,FALSE)</f>
        <v>0</v>
      </c>
      <c r="H103" s="36">
        <f>VLOOKUP(завтрак2,таб,36,FALSE)</f>
        <v>0</v>
      </c>
      <c r="I103" s="37">
        <f>VLOOKUP(завтрак3,таб,36,FALSE)</f>
        <v>0</v>
      </c>
      <c r="J103" s="36">
        <f>VLOOKUP(завтрак4,таб,36,FALSE)</f>
        <v>0</v>
      </c>
      <c r="K103" s="37">
        <f>VLOOKUP(завтрак5,таб,36,FALSE)</f>
        <v>0</v>
      </c>
      <c r="L103" s="37"/>
      <c r="M103" s="27">
        <f>VLOOKUP(завтрак7,таб,36,FALSE)</f>
        <v>0</v>
      </c>
      <c r="N103" s="84"/>
      <c r="O103" s="38">
        <f>VLOOKUP(обед1,таб,36,FALSE)</f>
        <v>0</v>
      </c>
      <c r="P103" s="37">
        <f>VLOOKUP(обед2,таб,36,FALSE)</f>
        <v>0</v>
      </c>
      <c r="Q103" s="36">
        <f>VLOOKUP(обед3,таб,36,FALSE)</f>
        <v>0</v>
      </c>
      <c r="R103" s="37"/>
      <c r="S103" s="36">
        <f>VLOOKUP(обед5,таб,36,FALSE)</f>
        <v>0</v>
      </c>
      <c r="T103" s="37">
        <f>VLOOKUP(обед6,таб,36,FALSE)</f>
        <v>0</v>
      </c>
      <c r="U103" s="36">
        <f>VLOOKUP(обед7,таб,36,FALSE)</f>
        <v>0</v>
      </c>
      <c r="V103" s="37">
        <f>VLOOKUP(обед8,таб,36,FALSE)</f>
        <v>0</v>
      </c>
      <c r="W103" s="37">
        <f>VLOOKUP(полдник1,таб,36,FALSE)</f>
        <v>0</v>
      </c>
      <c r="X103" s="37">
        <f>VLOOKUP(полдник2,таб,36,FALSE)</f>
        <v>0</v>
      </c>
      <c r="Y103" s="91">
        <f>VLOOKUP(полдник3,таб,36,FALSE)</f>
        <v>0</v>
      </c>
      <c r="Z103" s="38">
        <f>VLOOKUP(ужин1,таб,36,FALSE)</f>
        <v>0</v>
      </c>
      <c r="AA103" s="36">
        <f>VLOOKUP(ужин2,таб,36,FALSE)</f>
        <v>0</v>
      </c>
      <c r="AB103" s="37">
        <f>VLOOKUP(ужин3,таб,36,FALSE)</f>
        <v>0</v>
      </c>
      <c r="AC103" s="36">
        <f>VLOOKUP(ужин4,таб,36,FALSE)</f>
        <v>0</v>
      </c>
      <c r="AD103" s="37"/>
      <c r="AE103" s="36">
        <f>VLOOKUP(ужин6,таб,36,FALSE)</f>
        <v>0</v>
      </c>
      <c r="AF103" s="37">
        <f>VLOOKUP(ужин7,таб,36,FALSE)</f>
        <v>0</v>
      </c>
      <c r="AG103" s="91">
        <f>VLOOKUP(ужин8,таб,36,FALSE)</f>
        <v>0</v>
      </c>
      <c r="AH103" s="112">
        <v>614044</v>
      </c>
      <c r="AI103" s="122">
        <f>AK103/сред</f>
        <v>0</v>
      </c>
      <c r="AJ103" s="123"/>
      <c r="AK103" s="114">
        <f>SUM(G104:AG104)</f>
        <v>0</v>
      </c>
      <c r="AL103" s="114"/>
      <c r="AM103" s="175">
        <f>IF(AK103=0,0,BZ117)</f>
        <v>0</v>
      </c>
      <c r="AN103" s="115">
        <f>AK103*AM103</f>
        <v>0</v>
      </c>
      <c r="AP103">
        <v>102</v>
      </c>
      <c r="AQ103" s="61" t="s">
        <v>406</v>
      </c>
      <c r="AR103" s="61"/>
      <c r="AS103" s="60"/>
      <c r="AT103" s="60"/>
      <c r="AU103" s="60"/>
      <c r="AV103" s="60"/>
      <c r="AW103" s="60"/>
      <c r="AX103" s="60"/>
      <c r="AY103" s="60"/>
      <c r="AZ103" s="60">
        <v>1.7</v>
      </c>
      <c r="BA103" s="60"/>
      <c r="BB103" s="60"/>
      <c r="BC103" s="60"/>
      <c r="BD103" s="60">
        <v>15</v>
      </c>
      <c r="BE103" s="60"/>
      <c r="BF103" s="60"/>
      <c r="BG103" s="60"/>
      <c r="BH103" s="60"/>
      <c r="BI103" s="60"/>
      <c r="BJ103" s="60"/>
      <c r="BK103" s="60"/>
      <c r="BL103" s="60">
        <v>1.7</v>
      </c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>
        <v>1.5</v>
      </c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>
        <v>30</v>
      </c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ht="30.75" customHeight="1">
      <c r="A104" s="157"/>
      <c r="B104" s="157"/>
      <c r="C104" s="157"/>
      <c r="D104" s="157"/>
      <c r="E104" s="158"/>
      <c r="F104" s="65" t="s">
        <v>94</v>
      </c>
      <c r="G104" s="77">
        <f aca="true" t="shared" si="116" ref="G104:M104">IF(G103=0,"",завтракл*G103/1000)</f>
      </c>
      <c r="H104" s="48">
        <f t="shared" si="116"/>
      </c>
      <c r="I104" s="44">
        <f t="shared" si="116"/>
      </c>
      <c r="J104" s="48">
        <f t="shared" si="116"/>
      </c>
      <c r="K104" s="44">
        <f t="shared" si="116"/>
      </c>
      <c r="L104" s="44"/>
      <c r="M104" s="45">
        <f t="shared" si="116"/>
      </c>
      <c r="N104" s="85"/>
      <c r="O104" s="49">
        <f aca="true" t="shared" si="117" ref="O104:V104">IF(O103=0,"",обідл*O103/1000)</f>
      </c>
      <c r="P104" s="44">
        <f t="shared" si="117"/>
      </c>
      <c r="Q104" s="48">
        <f t="shared" si="117"/>
      </c>
      <c r="R104" s="44"/>
      <c r="S104" s="48">
        <f t="shared" si="117"/>
      </c>
      <c r="T104" s="44">
        <f t="shared" si="117"/>
      </c>
      <c r="U104" s="48">
        <f t="shared" si="117"/>
      </c>
      <c r="V104" s="44">
        <f t="shared" si="117"/>
      </c>
      <c r="W104" s="44">
        <f>IF(W103=0,"",полдникл*W103/1000)</f>
      </c>
      <c r="X104" s="44">
        <f>IF(X103=0,"",полдникл*X103/1000)</f>
      </c>
      <c r="Y104" s="88">
        <f>IF(Y103=0,"",полдникл*Y103/1000)</f>
      </c>
      <c r="Z104" s="49">
        <f aca="true" t="shared" si="118" ref="Z104:AG104">IF(Z103=0,"",ужинл*Z103/1000)</f>
      </c>
      <c r="AA104" s="48">
        <f t="shared" si="118"/>
      </c>
      <c r="AB104" s="44">
        <f t="shared" si="118"/>
      </c>
      <c r="AC104" s="48">
        <f t="shared" si="118"/>
      </c>
      <c r="AD104" s="44"/>
      <c r="AE104" s="48">
        <f t="shared" si="118"/>
      </c>
      <c r="AF104" s="44">
        <f t="shared" si="118"/>
      </c>
      <c r="AG104" s="88">
        <f t="shared" si="118"/>
      </c>
      <c r="AH104" s="113"/>
      <c r="AI104" s="122"/>
      <c r="AJ104" s="123"/>
      <c r="AK104" s="114"/>
      <c r="AL104" s="114"/>
      <c r="AM104" s="176"/>
      <c r="AN104" s="116"/>
      <c r="AP104">
        <v>103</v>
      </c>
      <c r="AQ104" s="61" t="s">
        <v>407</v>
      </c>
      <c r="AR104" s="61"/>
      <c r="AS104" s="60"/>
      <c r="AT104" s="60"/>
      <c r="AU104" s="60"/>
      <c r="AV104" s="60"/>
      <c r="AW104" s="60"/>
      <c r="AX104" s="60"/>
      <c r="AY104" s="60"/>
      <c r="AZ104" s="60">
        <v>0.5</v>
      </c>
      <c r="BA104" s="60"/>
      <c r="BB104" s="60"/>
      <c r="BC104" s="60">
        <v>0.2</v>
      </c>
      <c r="BD104" s="60"/>
      <c r="BE104" s="60"/>
      <c r="BF104" s="60"/>
      <c r="BG104" s="60"/>
      <c r="BH104" s="60"/>
      <c r="BI104" s="60"/>
      <c r="BJ104" s="60"/>
      <c r="BK104" s="60"/>
      <c r="BL104" s="60">
        <v>1.8</v>
      </c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>
        <v>0.6</v>
      </c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>
        <v>0.6</v>
      </c>
      <c r="CJ104" s="60">
        <v>3</v>
      </c>
      <c r="CK104" s="60"/>
      <c r="CL104" s="60"/>
      <c r="CM104" s="60">
        <v>3</v>
      </c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>
        <v>30</v>
      </c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ht="30.75" customHeight="1">
      <c r="A105" s="128" t="s">
        <v>30</v>
      </c>
      <c r="B105" s="128"/>
      <c r="C105" s="128"/>
      <c r="D105" s="128"/>
      <c r="E105" s="129"/>
      <c r="F105" s="68" t="s">
        <v>93</v>
      </c>
      <c r="G105" s="74">
        <f>VLOOKUP(завтрак1,таб,37,FALSE)</f>
        <v>0</v>
      </c>
      <c r="H105" s="33">
        <f>VLOOKUP(завтрак2,таб,37,FALSE)</f>
        <v>0</v>
      </c>
      <c r="I105" s="34">
        <f>VLOOKUP(завтрак3,таб,37,FALSE)</f>
        <v>0</v>
      </c>
      <c r="J105" s="33">
        <f>VLOOKUP(завтрак4,таб,37,FALSE)</f>
        <v>0</v>
      </c>
      <c r="K105" s="34">
        <f>VLOOKUP(завтрак5,таб,37,FALSE)</f>
        <v>0</v>
      </c>
      <c r="L105" s="34"/>
      <c r="M105" s="27">
        <f>VLOOKUP(завтрак7,таб,37,FALSE)</f>
        <v>0</v>
      </c>
      <c r="N105" s="84"/>
      <c r="O105" s="35">
        <f>VLOOKUP(обед1,таб,37,FALSE)</f>
        <v>0</v>
      </c>
      <c r="P105" s="34">
        <f>VLOOKUP(обед2,таб,37,FALSE)</f>
        <v>0</v>
      </c>
      <c r="Q105" s="33">
        <f>VLOOKUP(обед3,таб,37,FALSE)</f>
        <v>0</v>
      </c>
      <c r="R105" s="34"/>
      <c r="S105" s="33">
        <f>VLOOKUP(обед5,таб,37,FALSE)</f>
        <v>0</v>
      </c>
      <c r="T105" s="34">
        <f>VLOOKUP(обед6,таб,37,FALSE)</f>
        <v>0</v>
      </c>
      <c r="U105" s="33">
        <f>VLOOKUP(обед7,таб,37,FALSE)</f>
        <v>0</v>
      </c>
      <c r="V105" s="34">
        <f>VLOOKUP(обед8,таб,37,FALSE)</f>
        <v>0</v>
      </c>
      <c r="W105" s="34">
        <f>VLOOKUP(полдник1,таб,37,FALSE)</f>
        <v>0</v>
      </c>
      <c r="X105" s="34">
        <f>VLOOKUP(полдник2,таб,37,FALSE)</f>
        <v>0</v>
      </c>
      <c r="Y105" s="90">
        <f>VLOOKUP(полдник3,таб,37,FALSE)</f>
        <v>0</v>
      </c>
      <c r="Z105" s="35">
        <f>VLOOKUP(ужин1,таб,37,FALSE)</f>
        <v>0</v>
      </c>
      <c r="AA105" s="33">
        <f>VLOOKUP(ужин2,таб,37,FALSE)</f>
        <v>0</v>
      </c>
      <c r="AB105" s="34">
        <f>VLOOKUP(ужин3,таб,37,FALSE)</f>
        <v>0</v>
      </c>
      <c r="AC105" s="33">
        <f>VLOOKUP(ужин4,таб,37,FALSE)</f>
        <v>0</v>
      </c>
      <c r="AD105" s="34"/>
      <c r="AE105" s="33">
        <f>VLOOKUP(ужин6,таб,37,FALSE)</f>
        <v>0</v>
      </c>
      <c r="AF105" s="34">
        <f>VLOOKUP(ужин7,таб,37,FALSE)</f>
        <v>0</v>
      </c>
      <c r="AG105" s="90">
        <f>VLOOKUP(ужин8,таб,37,FALSE)</f>
        <v>0</v>
      </c>
      <c r="AH105" s="112">
        <v>614074</v>
      </c>
      <c r="AI105" s="122">
        <f>AK105/сред</f>
        <v>0</v>
      </c>
      <c r="AJ105" s="123"/>
      <c r="AK105" s="114">
        <f>SUM(G106:AG106)</f>
        <v>0</v>
      </c>
      <c r="AL105" s="114"/>
      <c r="AM105" s="175">
        <f>IF(AK105=0,0,CA117)</f>
        <v>0</v>
      </c>
      <c r="AN105" s="115">
        <f>AK105*AM105</f>
        <v>0</v>
      </c>
      <c r="AP105">
        <v>104</v>
      </c>
      <c r="AQ105" s="61" t="s">
        <v>408</v>
      </c>
      <c r="AR105" s="61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>
        <v>26</v>
      </c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>
        <v>0.2</v>
      </c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>
        <v>0.2</v>
      </c>
      <c r="DD105" s="60"/>
      <c r="DE105" s="60">
        <v>200</v>
      </c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49" ht="30.75" customHeight="1">
      <c r="A106" s="128"/>
      <c r="B106" s="128"/>
      <c r="C106" s="128"/>
      <c r="D106" s="128"/>
      <c r="E106" s="129"/>
      <c r="F106" s="65" t="s">
        <v>94</v>
      </c>
      <c r="G106" s="75">
        <f aca="true" t="shared" si="119" ref="G106:M106">IF(G105=0,"",завтракл*G105/1000)</f>
      </c>
      <c r="H106" s="46">
        <f t="shared" si="119"/>
      </c>
      <c r="I106" s="45">
        <f t="shared" si="119"/>
      </c>
      <c r="J106" s="46">
        <f t="shared" si="119"/>
      </c>
      <c r="K106" s="45">
        <f t="shared" si="119"/>
      </c>
      <c r="L106" s="45"/>
      <c r="M106" s="45">
        <f t="shared" si="119"/>
      </c>
      <c r="N106" s="85"/>
      <c r="O106" s="47">
        <f aca="true" t="shared" si="120" ref="O106:V106">IF(O105=0,"",обідл*O105/1000)</f>
      </c>
      <c r="P106" s="45">
        <f t="shared" si="120"/>
      </c>
      <c r="Q106" s="46">
        <f t="shared" si="120"/>
      </c>
      <c r="R106" s="45"/>
      <c r="S106" s="46">
        <f t="shared" si="120"/>
      </c>
      <c r="T106" s="45">
        <f t="shared" si="120"/>
      </c>
      <c r="U106" s="46">
        <f t="shared" si="120"/>
      </c>
      <c r="V106" s="45">
        <f t="shared" si="120"/>
      </c>
      <c r="W106" s="45">
        <f>IF(W105=0,"",полдникл*W105/1000)</f>
      </c>
      <c r="X106" s="45">
        <f>IF(X105=0,"",полдникл*X105/1000)</f>
      </c>
      <c r="Y106" s="85">
        <f>IF(Y105=0,"",полдникл*Y105/1000)</f>
      </c>
      <c r="Z106" s="47">
        <f aca="true" t="shared" si="121" ref="Z106:AG106">IF(Z105=0,"",ужинл*Z105/1000)</f>
      </c>
      <c r="AA106" s="46">
        <f t="shared" si="121"/>
      </c>
      <c r="AB106" s="45">
        <f t="shared" si="121"/>
      </c>
      <c r="AC106" s="46">
        <f t="shared" si="121"/>
      </c>
      <c r="AD106" s="45"/>
      <c r="AE106" s="46">
        <f t="shared" si="121"/>
      </c>
      <c r="AF106" s="45">
        <f t="shared" si="121"/>
      </c>
      <c r="AG106" s="85">
        <f t="shared" si="121"/>
      </c>
      <c r="AH106" s="113"/>
      <c r="AI106" s="122"/>
      <c r="AJ106" s="123"/>
      <c r="AK106" s="114"/>
      <c r="AL106" s="114"/>
      <c r="AM106" s="176"/>
      <c r="AN106" s="116"/>
      <c r="AP106">
        <v>105</v>
      </c>
      <c r="AQ106" s="61" t="s">
        <v>409</v>
      </c>
      <c r="AR106" s="61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>
        <v>90</v>
      </c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>
        <v>9</v>
      </c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>
        <v>0.5</v>
      </c>
      <c r="CY106" s="60"/>
      <c r="CZ106" s="60"/>
      <c r="DA106" s="60"/>
      <c r="DB106" s="60">
        <v>0.5</v>
      </c>
      <c r="DC106" s="60"/>
      <c r="DD106" s="60"/>
      <c r="DE106" s="60">
        <v>150</v>
      </c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ED106">
        <v>0.2</v>
      </c>
      <c r="ES106">
        <v>0.2</v>
      </c>
    </row>
    <row r="107" spans="1:129" ht="30.75" customHeight="1">
      <c r="A107" s="128" t="s">
        <v>31</v>
      </c>
      <c r="B107" s="128"/>
      <c r="C107" s="128"/>
      <c r="D107" s="128"/>
      <c r="E107" s="129"/>
      <c r="F107" s="68" t="s">
        <v>93</v>
      </c>
      <c r="G107" s="74">
        <f>VLOOKUP(завтрак1,таб,38,FALSE)</f>
        <v>0</v>
      </c>
      <c r="H107" s="33">
        <f>VLOOKUP(завтрак2,таб,38,FALSE)</f>
        <v>0</v>
      </c>
      <c r="I107" s="34">
        <f>VLOOKUP(завтрак3,таб,38,FALSE)</f>
        <v>0</v>
      </c>
      <c r="J107" s="33">
        <f>VLOOKUP(завтрак4,таб,38,FALSE)</f>
        <v>0</v>
      </c>
      <c r="K107" s="34">
        <f>VLOOKUP(завтрак5,таб,38,FALSE)</f>
        <v>0</v>
      </c>
      <c r="L107" s="34"/>
      <c r="M107" s="27">
        <f>VLOOKUP(завтрак7,таб,38,FALSE)</f>
        <v>0</v>
      </c>
      <c r="N107" s="84"/>
      <c r="O107" s="35">
        <f>VLOOKUP(обед1,таб,38,FALSE)</f>
        <v>0</v>
      </c>
      <c r="P107" s="34">
        <f>VLOOKUP(обед2,таб,38,FALSE)</f>
        <v>0</v>
      </c>
      <c r="Q107" s="33">
        <f>VLOOKUP(обед3,таб,38,FALSE)</f>
        <v>0</v>
      </c>
      <c r="R107" s="34"/>
      <c r="S107" s="33">
        <v>22.5</v>
      </c>
      <c r="T107" s="34">
        <f>VLOOKUP(обед6,таб,38,FALSE)</f>
        <v>0</v>
      </c>
      <c r="U107" s="33">
        <f>VLOOKUP(обед7,таб,38,FALSE)</f>
        <v>0</v>
      </c>
      <c r="V107" s="34">
        <f>VLOOKUP(обед8,таб,38,FALSE)</f>
        <v>0</v>
      </c>
      <c r="W107" s="34">
        <f>VLOOKUP(полдник1,таб,38,FALSE)</f>
        <v>0</v>
      </c>
      <c r="X107" s="34">
        <f>VLOOKUP(полдник2,таб,38,FALSE)</f>
        <v>0</v>
      </c>
      <c r="Y107" s="90">
        <f>VLOOKUP(полдник3,таб,38,FALSE)</f>
        <v>0</v>
      </c>
      <c r="Z107" s="35">
        <f>VLOOKUP(ужин1,таб,38,FALSE)</f>
        <v>0</v>
      </c>
      <c r="AA107" s="33">
        <f>VLOOKUP(ужин2,таб,38,FALSE)</f>
        <v>0</v>
      </c>
      <c r="AB107" s="34">
        <f>VLOOKUP(ужин3,таб,38,FALSE)</f>
        <v>0</v>
      </c>
      <c r="AC107" s="33">
        <f>VLOOKUP(ужин4,таб,38,FALSE)</f>
        <v>0</v>
      </c>
      <c r="AD107" s="34"/>
      <c r="AE107" s="33">
        <f>VLOOKUP(ужин6,таб,38,FALSE)</f>
        <v>0</v>
      </c>
      <c r="AF107" s="34">
        <f>VLOOKUP(ужин7,таб,38,FALSE)</f>
        <v>0</v>
      </c>
      <c r="AG107" s="90">
        <f>VLOOKUP(ужин8,таб,38,FALSE)</f>
        <v>0</v>
      </c>
      <c r="AH107" s="112">
        <v>615027</v>
      </c>
      <c r="AI107" s="122">
        <f>AK107/сред</f>
        <v>0.023625</v>
      </c>
      <c r="AJ107" s="123"/>
      <c r="AK107" s="114">
        <f>SUM(G108:AG108)</f>
        <v>0.4725</v>
      </c>
      <c r="AL107" s="114"/>
      <c r="AM107" s="175">
        <v>52</v>
      </c>
      <c r="AN107" s="115">
        <f>AK107*AM107</f>
        <v>24.57</v>
      </c>
      <c r="AP107">
        <v>106</v>
      </c>
      <c r="AQ107" s="61" t="s">
        <v>410</v>
      </c>
      <c r="AR107" s="61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>
        <v>2.4</v>
      </c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>
        <v>20</v>
      </c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>
        <v>200</v>
      </c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ht="30.75" customHeight="1">
      <c r="A108" s="128"/>
      <c r="B108" s="128"/>
      <c r="C108" s="128"/>
      <c r="D108" s="128"/>
      <c r="E108" s="129"/>
      <c r="F108" s="65" t="s">
        <v>94</v>
      </c>
      <c r="G108" s="75">
        <f aca="true" t="shared" si="122" ref="G108:M108">IF(G107=0,"",завтракл*G107/1000)</f>
      </c>
      <c r="H108" s="46">
        <f t="shared" si="122"/>
      </c>
      <c r="I108" s="45">
        <f t="shared" si="122"/>
      </c>
      <c r="J108" s="46">
        <f t="shared" si="122"/>
      </c>
      <c r="K108" s="45">
        <f t="shared" si="122"/>
      </c>
      <c r="L108" s="45"/>
      <c r="M108" s="45">
        <f t="shared" si="122"/>
      </c>
      <c r="N108" s="85"/>
      <c r="O108" s="47">
        <f aca="true" t="shared" si="123" ref="O108:V108">IF(O107=0,"",обідл*O107/1000)</f>
      </c>
      <c r="P108" s="45">
        <f t="shared" si="123"/>
      </c>
      <c r="Q108" s="46">
        <f t="shared" si="123"/>
      </c>
      <c r="R108" s="45"/>
      <c r="S108" s="46">
        <f t="shared" si="123"/>
        <v>0.4725</v>
      </c>
      <c r="T108" s="45">
        <f t="shared" si="123"/>
      </c>
      <c r="U108" s="46">
        <f t="shared" si="123"/>
      </c>
      <c r="V108" s="45">
        <f t="shared" si="123"/>
      </c>
      <c r="W108" s="45">
        <f>IF(W107=0,"",полдникл*W107/1000)</f>
      </c>
      <c r="X108" s="45">
        <f>IF(X107=0,"",полдникл*X107/1000)</f>
      </c>
      <c r="Y108" s="85">
        <f>IF(Y107=0,"",полдникл*Y107/1000)</f>
      </c>
      <c r="Z108" s="47">
        <f aca="true" t="shared" si="124" ref="Z108:AG108">IF(Z107=0,"",ужинл*Z107/1000)</f>
      </c>
      <c r="AA108" s="46">
        <f t="shared" si="124"/>
      </c>
      <c r="AB108" s="45">
        <f t="shared" si="124"/>
      </c>
      <c r="AC108" s="46">
        <f t="shared" si="124"/>
      </c>
      <c r="AD108" s="45"/>
      <c r="AE108" s="46">
        <f t="shared" si="124"/>
      </c>
      <c r="AF108" s="45">
        <f t="shared" si="124"/>
      </c>
      <c r="AG108" s="85">
        <f t="shared" si="124"/>
      </c>
      <c r="AH108" s="113"/>
      <c r="AI108" s="122"/>
      <c r="AJ108" s="123"/>
      <c r="AK108" s="114"/>
      <c r="AL108" s="114"/>
      <c r="AM108" s="176"/>
      <c r="AN108" s="116"/>
      <c r="AP108">
        <v>107</v>
      </c>
      <c r="AQ108" s="61" t="s">
        <v>411</v>
      </c>
      <c r="AR108" s="61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>
        <v>8</v>
      </c>
      <c r="BX108" s="60"/>
      <c r="BY108" s="60"/>
      <c r="BZ108" s="60">
        <v>0.8</v>
      </c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>
        <v>200</v>
      </c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ht="30.75" customHeight="1">
      <c r="A109" s="153" t="s">
        <v>105</v>
      </c>
      <c r="B109" s="153"/>
      <c r="C109" s="153"/>
      <c r="D109" s="153"/>
      <c r="E109" s="154"/>
      <c r="F109" s="68" t="s">
        <v>93</v>
      </c>
      <c r="G109" s="76">
        <f>VLOOKUP(завтрак1,таб,39,FALSE)</f>
        <v>0</v>
      </c>
      <c r="H109" s="36">
        <f>VLOOKUP(завтрак2,таб,39,FALSE)</f>
        <v>0</v>
      </c>
      <c r="I109" s="37">
        <f>VLOOKUP(завтрак3,таб,39,FALSE)</f>
        <v>0</v>
      </c>
      <c r="J109" s="36">
        <f>VLOOKUP(завтрак4,таб,39,FALSE)</f>
        <v>0</v>
      </c>
      <c r="K109" s="37">
        <f>VLOOKUP(завтрак5,таб,39,FALSE)</f>
        <v>0</v>
      </c>
      <c r="L109" s="37"/>
      <c r="M109" s="27">
        <f>VLOOKUP(завтрак7,таб,39,FALSE)</f>
        <v>0</v>
      </c>
      <c r="N109" s="84"/>
      <c r="O109" s="38">
        <f>VLOOKUP(обед1,таб,39,FALSE)</f>
        <v>0</v>
      </c>
      <c r="P109" s="37">
        <f>VLOOKUP(обед2,таб,39,FALSE)</f>
        <v>0</v>
      </c>
      <c r="Q109" s="36">
        <f>VLOOKUP(обед3,таб,39,FALSE)</f>
        <v>0</v>
      </c>
      <c r="R109" s="37"/>
      <c r="S109" s="36">
        <f>VLOOKUP(обед5,таб,39,FALSE)</f>
        <v>0</v>
      </c>
      <c r="T109" s="37">
        <f>VLOOKUP(обед6,таб,39,FALSE)</f>
        <v>0</v>
      </c>
      <c r="U109" s="36">
        <f>VLOOKUP(обед7,таб,39,FALSE)</f>
        <v>0</v>
      </c>
      <c r="V109" s="37">
        <f>VLOOKUP(обед8,таб,39,FALSE)</f>
        <v>0</v>
      </c>
      <c r="W109" s="37">
        <f>VLOOKUP(полдник1,таб,39,FALSE)</f>
        <v>0</v>
      </c>
      <c r="X109" s="37">
        <f>VLOOKUP(полдник2,таб,39,FALSE)</f>
        <v>0</v>
      </c>
      <c r="Y109" s="91">
        <f>VLOOKUP(полдник3,таб,39,FALSE)</f>
        <v>0</v>
      </c>
      <c r="Z109" s="38">
        <f>VLOOKUP(ужин1,таб,39,FALSE)</f>
        <v>5</v>
      </c>
      <c r="AA109" s="36">
        <f>VLOOKUP(ужин2,таб,39,FALSE)</f>
        <v>0</v>
      </c>
      <c r="AB109" s="37">
        <f>VLOOKUP(ужин3,таб,39,FALSE)</f>
        <v>0</v>
      </c>
      <c r="AC109" s="36">
        <f>VLOOKUP(ужин4,таб,39,FALSE)</f>
        <v>0</v>
      </c>
      <c r="AD109" s="37"/>
      <c r="AE109" s="36">
        <f>VLOOKUP(ужин6,таб,39,FALSE)</f>
        <v>0</v>
      </c>
      <c r="AF109" s="37">
        <f>VLOOKUP(ужин7,таб,39,FALSE)</f>
        <v>0</v>
      </c>
      <c r="AG109" s="91">
        <f>VLOOKUP(ужин8,таб,39,FALSE)</f>
        <v>0</v>
      </c>
      <c r="AH109" s="112">
        <v>615028</v>
      </c>
      <c r="AI109" s="122">
        <f>AK109/сред</f>
        <v>0.0045</v>
      </c>
      <c r="AJ109" s="123"/>
      <c r="AK109" s="114">
        <f>SUM(G110:AG110)</f>
        <v>0.09</v>
      </c>
      <c r="AL109" s="114"/>
      <c r="AM109" s="175">
        <v>90</v>
      </c>
      <c r="AN109" s="115">
        <f>AK109*AM109</f>
        <v>8.1</v>
      </c>
      <c r="AP109">
        <v>108</v>
      </c>
      <c r="AQ109" s="61" t="s">
        <v>412</v>
      </c>
      <c r="AR109" s="61"/>
      <c r="AS109" s="60"/>
      <c r="AT109" s="60"/>
      <c r="AU109" s="60">
        <v>0.8</v>
      </c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>
        <v>200</v>
      </c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ht="30.75" customHeight="1">
      <c r="A110" s="157"/>
      <c r="B110" s="157"/>
      <c r="C110" s="157"/>
      <c r="D110" s="157"/>
      <c r="E110" s="158"/>
      <c r="F110" s="65" t="s">
        <v>94</v>
      </c>
      <c r="G110" s="77">
        <f aca="true" t="shared" si="125" ref="G110:M110">IF(G109=0,"",завтракл*G109/1000)</f>
      </c>
      <c r="H110" s="48">
        <f t="shared" si="125"/>
      </c>
      <c r="I110" s="44">
        <f t="shared" si="125"/>
      </c>
      <c r="J110" s="48">
        <f t="shared" si="125"/>
      </c>
      <c r="K110" s="44">
        <f t="shared" si="125"/>
      </c>
      <c r="L110" s="44"/>
      <c r="M110" s="45">
        <f t="shared" si="125"/>
      </c>
      <c r="N110" s="85"/>
      <c r="O110" s="49">
        <f aca="true" t="shared" si="126" ref="O110:V110">IF(O109=0,"",обідл*O109/1000)</f>
      </c>
      <c r="P110" s="44">
        <f t="shared" si="126"/>
      </c>
      <c r="Q110" s="48">
        <f t="shared" si="126"/>
      </c>
      <c r="R110" s="44"/>
      <c r="S110" s="48">
        <f t="shared" si="126"/>
      </c>
      <c r="T110" s="44">
        <f t="shared" si="126"/>
      </c>
      <c r="U110" s="48">
        <f t="shared" si="126"/>
      </c>
      <c r="V110" s="44">
        <f t="shared" si="126"/>
      </c>
      <c r="W110" s="44">
        <f>IF(W109=0,"",полдникл*W109/1000)</f>
      </c>
      <c r="X110" s="44">
        <f>IF(X109=0,"",полдникл*X109/1000)</f>
      </c>
      <c r="Y110" s="88">
        <f>IF(Y109=0,"",полдникл*Y109/1000)</f>
      </c>
      <c r="Z110" s="49">
        <f aca="true" t="shared" si="127" ref="Z110:AG110">IF(Z109=0,"",ужинл*Z109/1000)</f>
        <v>0.09</v>
      </c>
      <c r="AA110" s="48">
        <f t="shared" si="127"/>
      </c>
      <c r="AB110" s="44">
        <f t="shared" si="127"/>
      </c>
      <c r="AC110" s="48">
        <f t="shared" si="127"/>
      </c>
      <c r="AD110" s="44"/>
      <c r="AE110" s="48">
        <f t="shared" si="127"/>
      </c>
      <c r="AF110" s="44">
        <f t="shared" si="127"/>
      </c>
      <c r="AG110" s="88">
        <f t="shared" si="127"/>
      </c>
      <c r="AH110" s="113"/>
      <c r="AI110" s="122"/>
      <c r="AJ110" s="123"/>
      <c r="AK110" s="114"/>
      <c r="AL110" s="114"/>
      <c r="AM110" s="176"/>
      <c r="AN110" s="116"/>
      <c r="AP110">
        <v>109</v>
      </c>
      <c r="AQ110" s="61" t="s">
        <v>413</v>
      </c>
      <c r="AR110" s="61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>
        <v>3.8</v>
      </c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>
        <v>31.3</v>
      </c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>
        <v>25.6</v>
      </c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>
        <v>75</v>
      </c>
      <c r="DF110" s="60"/>
      <c r="DG110" s="60"/>
      <c r="DH110" s="60"/>
      <c r="DI110" s="60"/>
      <c r="DJ110" s="60"/>
      <c r="DK110" s="60"/>
      <c r="DL110" s="60"/>
      <c r="DM110" s="60"/>
      <c r="DN110" s="60"/>
      <c r="DO110" s="60">
        <v>33.8</v>
      </c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ht="30.75" customHeight="1">
      <c r="A111" s="128" t="s">
        <v>32</v>
      </c>
      <c r="B111" s="128"/>
      <c r="C111" s="128"/>
      <c r="D111" s="128"/>
      <c r="E111" s="129"/>
      <c r="F111" s="68" t="s">
        <v>93</v>
      </c>
      <c r="G111" s="74">
        <f>VLOOKUP(завтрак1,таб,40,FALSE)</f>
        <v>0</v>
      </c>
      <c r="H111" s="33">
        <f>VLOOKUP(завтрак2,таб,40,FALSE)</f>
        <v>0</v>
      </c>
      <c r="I111" s="34">
        <f>VLOOKUP(завтрак3,таб,40,FALSE)</f>
        <v>0</v>
      </c>
      <c r="J111" s="33">
        <f>VLOOKUP(завтрак4,таб,40,FALSE)</f>
        <v>0</v>
      </c>
      <c r="K111" s="34">
        <f>VLOOKUP(завтрак5,таб,40,FALSE)</f>
        <v>0</v>
      </c>
      <c r="L111" s="34"/>
      <c r="M111" s="27">
        <f>VLOOKUP(завтрак7,таб,40,FALSE)</f>
        <v>0</v>
      </c>
      <c r="N111" s="84"/>
      <c r="O111" s="35">
        <f>VLOOKUP(обед1,таб,40,FALSE)</f>
        <v>0</v>
      </c>
      <c r="P111" s="34">
        <f>VLOOKUP(обед2,таб,40,FALSE)</f>
        <v>0</v>
      </c>
      <c r="Q111" s="33">
        <f>VLOOKUP(обед3,таб,40,FALSE)</f>
        <v>0</v>
      </c>
      <c r="R111" s="34"/>
      <c r="S111" s="33">
        <f>VLOOKUP(обед5,таб,40,FALSE)</f>
        <v>0</v>
      </c>
      <c r="T111" s="34">
        <f>VLOOKUP(обед6,таб,40,FALSE)</f>
        <v>0</v>
      </c>
      <c r="U111" s="33">
        <f>VLOOKUP(обед7,таб,40,FALSE)</f>
        <v>0</v>
      </c>
      <c r="V111" s="34">
        <f>VLOOKUP(обед8,таб,40,FALSE)</f>
        <v>0</v>
      </c>
      <c r="W111" s="34">
        <f>VLOOKUP(полдник1,таб,40,FALSE)</f>
        <v>0</v>
      </c>
      <c r="X111" s="34">
        <f>VLOOKUP(полдник2,таб,40,FALSE)</f>
        <v>0</v>
      </c>
      <c r="Y111" s="90">
        <f>VLOOKUP(полдник3,таб,40,FALSE)</f>
        <v>0</v>
      </c>
      <c r="Z111" s="35">
        <f>VLOOKUP(ужин1,таб,40,FALSE)</f>
        <v>0</v>
      </c>
      <c r="AA111" s="33">
        <f>VLOOKUP(ужин2,таб,40,FALSE)</f>
        <v>0</v>
      </c>
      <c r="AB111" s="34">
        <f>VLOOKUP(ужин3,таб,40,FALSE)</f>
        <v>0</v>
      </c>
      <c r="AC111" s="33">
        <f>VLOOKUP(ужин4,таб,40,FALSE)</f>
        <v>0</v>
      </c>
      <c r="AD111" s="34"/>
      <c r="AE111" s="33">
        <f>VLOOKUP(ужин6,таб,40,FALSE)</f>
        <v>0</v>
      </c>
      <c r="AF111" s="34">
        <f>VLOOKUP(ужин7,таб,40,FALSE)</f>
        <v>0</v>
      </c>
      <c r="AG111" s="90">
        <f>VLOOKUP(ужин8,таб,40,FALSE)</f>
        <v>0</v>
      </c>
      <c r="AH111" s="112"/>
      <c r="AI111" s="122">
        <f>AK111/сред</f>
        <v>0</v>
      </c>
      <c r="AJ111" s="123"/>
      <c r="AK111" s="114">
        <f>SUM(G112:AG112)</f>
        <v>0</v>
      </c>
      <c r="AL111" s="114"/>
      <c r="AM111" s="175">
        <f>IF(AK111=0,0,CD117)</f>
        <v>0</v>
      </c>
      <c r="AN111" s="115">
        <f>AK111*AM111</f>
        <v>0</v>
      </c>
      <c r="AP111">
        <v>110</v>
      </c>
      <c r="AQ111" s="61" t="s">
        <v>414</v>
      </c>
      <c r="AR111" s="61"/>
      <c r="AS111" s="60"/>
      <c r="AT111" s="60"/>
      <c r="AU111" s="60"/>
      <c r="AV111" s="60"/>
      <c r="AW111" s="60"/>
      <c r="AX111" s="60"/>
      <c r="AY111" s="60"/>
      <c r="AZ111" s="60"/>
      <c r="BA111" s="60">
        <v>3.8</v>
      </c>
      <c r="BB111" s="60"/>
      <c r="BC111" s="60">
        <v>3.75</v>
      </c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>
        <v>0.75</v>
      </c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>
        <v>20.55</v>
      </c>
      <c r="CJ111" s="60"/>
      <c r="CK111" s="60"/>
      <c r="CL111" s="60"/>
      <c r="CM111" s="60"/>
      <c r="CN111" s="60">
        <v>66.2</v>
      </c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>
        <v>75</v>
      </c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ht="30.75" customHeight="1">
      <c r="A112" s="128"/>
      <c r="B112" s="128"/>
      <c r="C112" s="128"/>
      <c r="D112" s="128"/>
      <c r="E112" s="129"/>
      <c r="F112" s="65" t="s">
        <v>94</v>
      </c>
      <c r="G112" s="75">
        <f aca="true" t="shared" si="128" ref="G112:M112">IF(G111=0,"",завтракл*G111/1000)</f>
      </c>
      <c r="H112" s="46">
        <f t="shared" si="128"/>
      </c>
      <c r="I112" s="45">
        <f t="shared" si="128"/>
      </c>
      <c r="J112" s="46">
        <f t="shared" si="128"/>
      </c>
      <c r="K112" s="45">
        <f t="shared" si="128"/>
      </c>
      <c r="L112" s="45"/>
      <c r="M112" s="45">
        <f t="shared" si="128"/>
      </c>
      <c r="N112" s="85"/>
      <c r="O112" s="47">
        <f aca="true" t="shared" si="129" ref="O112:V112">IF(O111=0,"",обідл*O111/1000)</f>
      </c>
      <c r="P112" s="45">
        <f t="shared" si="129"/>
      </c>
      <c r="Q112" s="46">
        <f t="shared" si="129"/>
      </c>
      <c r="R112" s="45"/>
      <c r="S112" s="46">
        <f t="shared" si="129"/>
      </c>
      <c r="T112" s="45">
        <f t="shared" si="129"/>
      </c>
      <c r="U112" s="46">
        <f t="shared" si="129"/>
      </c>
      <c r="V112" s="45">
        <f t="shared" si="129"/>
      </c>
      <c r="W112" s="45">
        <f>IF(W111=0,"",полдникл*W111/1000)</f>
      </c>
      <c r="X112" s="45">
        <f>IF(X111=0,"",полдникл*X111/1000)</f>
      </c>
      <c r="Y112" s="85">
        <f>IF(Y111=0,"",полдникл*Y111/1000)</f>
      </c>
      <c r="Z112" s="47">
        <f aca="true" t="shared" si="130" ref="Z112:AG112">IF(Z111=0,"",ужинл*Z111/1000)</f>
      </c>
      <c r="AA112" s="46">
        <f t="shared" si="130"/>
      </c>
      <c r="AB112" s="45">
        <f t="shared" si="130"/>
      </c>
      <c r="AC112" s="46">
        <f t="shared" si="130"/>
      </c>
      <c r="AD112" s="45"/>
      <c r="AE112" s="46">
        <f t="shared" si="130"/>
      </c>
      <c r="AF112" s="45">
        <f t="shared" si="130"/>
      </c>
      <c r="AG112" s="85">
        <f t="shared" si="130"/>
      </c>
      <c r="AH112" s="113"/>
      <c r="AI112" s="122"/>
      <c r="AJ112" s="123"/>
      <c r="AK112" s="114"/>
      <c r="AL112" s="114"/>
      <c r="AM112" s="176"/>
      <c r="AN112" s="116"/>
      <c r="AP112">
        <v>111</v>
      </c>
      <c r="AQ112" s="61" t="s">
        <v>415</v>
      </c>
      <c r="AR112" s="61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>
        <v>3.8</v>
      </c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>
        <v>8.5</v>
      </c>
      <c r="CJ112" s="60"/>
      <c r="CK112" s="60"/>
      <c r="CL112" s="60"/>
      <c r="CM112" s="60"/>
      <c r="CN112" s="60">
        <v>55.6</v>
      </c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>
        <v>75</v>
      </c>
      <c r="DF112" s="60"/>
      <c r="DG112" s="60"/>
      <c r="DH112" s="60"/>
      <c r="DI112" s="60"/>
      <c r="DJ112" s="60"/>
      <c r="DK112" s="60"/>
      <c r="DL112" s="60"/>
      <c r="DM112" s="60"/>
      <c r="DN112" s="60">
        <v>23</v>
      </c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ht="30.75" customHeight="1">
      <c r="A113" s="128" t="s">
        <v>33</v>
      </c>
      <c r="B113" s="128"/>
      <c r="C113" s="128"/>
      <c r="D113" s="128"/>
      <c r="E113" s="129"/>
      <c r="F113" s="68" t="s">
        <v>93</v>
      </c>
      <c r="G113" s="76">
        <f>VLOOKUP(завтрак1,таб,41,FALSE)</f>
        <v>0</v>
      </c>
      <c r="H113" s="36">
        <f>VLOOKUP(завтрак2,таб,41,FALSE)</f>
        <v>0</v>
      </c>
      <c r="I113" s="37">
        <f>VLOOKUP(завтрак3,таб,41,FALSE)</f>
        <v>0</v>
      </c>
      <c r="J113" s="36">
        <f>VLOOKUP(завтрак4,таб,41,FALSE)</f>
        <v>0</v>
      </c>
      <c r="K113" s="37">
        <f>VLOOKUP(завтрак5,таб,41,FALSE)</f>
        <v>0</v>
      </c>
      <c r="L113" s="37"/>
      <c r="M113" s="27">
        <f>VLOOKUP(завтрак7,таб,41,FALSE)</f>
        <v>0</v>
      </c>
      <c r="N113" s="84"/>
      <c r="O113" s="38">
        <f>VLOOKUP(обед1,таб,41,FALSE)</f>
        <v>0</v>
      </c>
      <c r="P113" s="37">
        <f>VLOOKUP(обед2,таб,41,FALSE)</f>
        <v>0</v>
      </c>
      <c r="Q113" s="36">
        <f>VLOOKUP(обед3,таб,41,FALSE)</f>
        <v>0</v>
      </c>
      <c r="R113" s="37"/>
      <c r="S113" s="36">
        <f>VLOOKUP(обед5,таб,41,FALSE)</f>
        <v>0</v>
      </c>
      <c r="T113" s="37">
        <f>VLOOKUP(обед6,таб,41,FALSE)</f>
        <v>0</v>
      </c>
      <c r="U113" s="36">
        <f>VLOOKUP(обед7,таб,41,FALSE)</f>
        <v>0</v>
      </c>
      <c r="V113" s="37">
        <f>VLOOKUP(обед8,таб,41,FALSE)</f>
        <v>0</v>
      </c>
      <c r="W113" s="37">
        <f>VLOOKUP(полдник1,таб,41,FALSE)</f>
        <v>0</v>
      </c>
      <c r="X113" s="37">
        <f>VLOOKUP(полдник2,таб,41,FALSE)</f>
        <v>0</v>
      </c>
      <c r="Y113" s="91">
        <f>VLOOKUP(полдник3,таб,41,FALSE)</f>
        <v>0</v>
      </c>
      <c r="Z113" s="38">
        <f>VLOOKUP(ужин1,таб,41,FALSE)</f>
        <v>0</v>
      </c>
      <c r="AA113" s="36">
        <f>VLOOKUP(ужин2,таб,41,FALSE)</f>
        <v>0</v>
      </c>
      <c r="AB113" s="37">
        <f>VLOOKUP(ужин3,таб,41,FALSE)</f>
        <v>0</v>
      </c>
      <c r="AC113" s="36">
        <f>VLOOKUP(ужин4,таб,41,FALSE)</f>
        <v>0</v>
      </c>
      <c r="AD113" s="37"/>
      <c r="AE113" s="36">
        <f>VLOOKUP(ужин6,таб,41,FALSE)</f>
        <v>0</v>
      </c>
      <c r="AF113" s="37">
        <f>VLOOKUP(ужин7,таб,41,FALSE)</f>
        <v>0</v>
      </c>
      <c r="AG113" s="91">
        <f>VLOOKUP(ужин8,таб,41,FALSE)</f>
        <v>0</v>
      </c>
      <c r="AH113" s="112"/>
      <c r="AI113" s="122">
        <f>AK113/сред</f>
        <v>0</v>
      </c>
      <c r="AJ113" s="123"/>
      <c r="AK113" s="114">
        <f>SUM(G114:AG114)</f>
        <v>0</v>
      </c>
      <c r="AL113" s="114"/>
      <c r="AM113" s="175">
        <f>IF(AK113=0,0,CE117)</f>
        <v>0</v>
      </c>
      <c r="AN113" s="115">
        <f>AK113*AM113</f>
        <v>0</v>
      </c>
      <c r="AP113">
        <v>112</v>
      </c>
      <c r="AQ113" s="61" t="s">
        <v>416</v>
      </c>
      <c r="AR113" s="61"/>
      <c r="AS113" s="60"/>
      <c r="AT113" s="60"/>
      <c r="AU113" s="60"/>
      <c r="AV113" s="60"/>
      <c r="AW113" s="60"/>
      <c r="AX113" s="60"/>
      <c r="AY113" s="60"/>
      <c r="AZ113" s="60">
        <v>4</v>
      </c>
      <c r="BA113" s="60"/>
      <c r="BB113" s="60"/>
      <c r="BC113" s="60">
        <v>3.75</v>
      </c>
      <c r="BD113" s="60"/>
      <c r="BE113" s="60"/>
      <c r="BF113" s="60"/>
      <c r="BG113" s="60"/>
      <c r="BH113" s="60"/>
      <c r="BI113" s="60"/>
      <c r="BJ113" s="60">
        <v>0.2</v>
      </c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>
        <v>38.55</v>
      </c>
      <c r="CI113" s="60"/>
      <c r="CJ113" s="60">
        <v>121.9</v>
      </c>
      <c r="CK113" s="60"/>
      <c r="CL113" s="60"/>
      <c r="CM113" s="60"/>
      <c r="CN113" s="60">
        <v>2.33</v>
      </c>
      <c r="CO113" s="60"/>
      <c r="CP113" s="60">
        <v>0.4</v>
      </c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>
        <v>75</v>
      </c>
      <c r="DF113" s="60"/>
      <c r="DG113" s="60"/>
      <c r="DH113" s="60"/>
      <c r="DI113" s="60"/>
      <c r="DJ113" s="60"/>
      <c r="DK113" s="60"/>
      <c r="DL113" s="60"/>
      <c r="DM113" s="60"/>
      <c r="DN113" s="60"/>
      <c r="DO113" s="60">
        <v>21.6</v>
      </c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ht="30.75" customHeight="1">
      <c r="A114" s="157"/>
      <c r="B114" s="157"/>
      <c r="C114" s="157"/>
      <c r="D114" s="157"/>
      <c r="E114" s="158"/>
      <c r="F114" s="65" t="s">
        <v>94</v>
      </c>
      <c r="G114" s="77">
        <f aca="true" t="shared" si="131" ref="G114:M114">IF(G113=0,"",завтракл*G113/1000)</f>
      </c>
      <c r="H114" s="48">
        <f t="shared" si="131"/>
      </c>
      <c r="I114" s="44">
        <f t="shared" si="131"/>
      </c>
      <c r="J114" s="48">
        <f t="shared" si="131"/>
      </c>
      <c r="K114" s="44">
        <f t="shared" si="131"/>
      </c>
      <c r="L114" s="44"/>
      <c r="M114" s="45">
        <f t="shared" si="131"/>
      </c>
      <c r="N114" s="85"/>
      <c r="O114" s="49">
        <f aca="true" t="shared" si="132" ref="O114:V114">IF(O113=0,"",обідл*O113/1000)</f>
      </c>
      <c r="P114" s="44">
        <f t="shared" si="132"/>
      </c>
      <c r="Q114" s="48">
        <f t="shared" si="132"/>
      </c>
      <c r="R114" s="44"/>
      <c r="S114" s="48">
        <f t="shared" si="132"/>
      </c>
      <c r="T114" s="44">
        <f t="shared" si="132"/>
      </c>
      <c r="U114" s="48">
        <f t="shared" si="132"/>
      </c>
      <c r="V114" s="44">
        <f t="shared" si="132"/>
      </c>
      <c r="W114" s="44">
        <f>IF(W113=0,"",полдникл*W113/1000)</f>
      </c>
      <c r="X114" s="44">
        <f>IF(X113=0,"",полдникл*X113/1000)</f>
      </c>
      <c r="Y114" s="88">
        <f>IF(Y113=0,"",полдникл*Y113/1000)</f>
      </c>
      <c r="Z114" s="49">
        <f aca="true" t="shared" si="133" ref="Z114:AG114">IF(Z113=0,"",ужинл*Z113/1000)</f>
      </c>
      <c r="AA114" s="48">
        <f t="shared" si="133"/>
      </c>
      <c r="AB114" s="44">
        <f t="shared" si="133"/>
      </c>
      <c r="AC114" s="48">
        <f t="shared" si="133"/>
      </c>
      <c r="AD114" s="44"/>
      <c r="AE114" s="48">
        <f t="shared" si="133"/>
      </c>
      <c r="AF114" s="44">
        <f t="shared" si="133"/>
      </c>
      <c r="AG114" s="88">
        <f t="shared" si="133"/>
      </c>
      <c r="AH114" s="113"/>
      <c r="AI114" s="122"/>
      <c r="AJ114" s="123"/>
      <c r="AK114" s="114"/>
      <c r="AL114" s="114"/>
      <c r="AM114" s="176"/>
      <c r="AN114" s="116"/>
      <c r="AP114">
        <v>113</v>
      </c>
      <c r="AQ114" s="61" t="s">
        <v>417</v>
      </c>
      <c r="AR114" s="61"/>
      <c r="AS114" s="60"/>
      <c r="AT114" s="60"/>
      <c r="AU114" s="60"/>
      <c r="AV114" s="60"/>
      <c r="AW114" s="60"/>
      <c r="AX114" s="60">
        <v>100.7</v>
      </c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>
        <v>0.1</v>
      </c>
      <c r="BK114" s="60"/>
      <c r="BL114" s="60">
        <v>1.88</v>
      </c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>
        <v>13.3</v>
      </c>
      <c r="CH114" s="60"/>
      <c r="CI114" s="60">
        <v>17.9</v>
      </c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>
        <v>200</v>
      </c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ht="30.75" customHeight="1">
      <c r="A115" s="128" t="s">
        <v>34</v>
      </c>
      <c r="B115" s="128"/>
      <c r="C115" s="128"/>
      <c r="D115" s="128"/>
      <c r="E115" s="129"/>
      <c r="F115" s="68" t="s">
        <v>93</v>
      </c>
      <c r="G115" s="74">
        <f>VLOOKUP(завтрак1,таб,42,FALSE)</f>
        <v>0</v>
      </c>
      <c r="H115" s="33">
        <f>VLOOKUP(завтрак2,таб,42,FALSE)</f>
        <v>0</v>
      </c>
      <c r="I115" s="34">
        <f>VLOOKUP(завтрак3,таб,42,FALSE)</f>
        <v>40</v>
      </c>
      <c r="J115" s="33">
        <f>VLOOKUP(завтрак4,таб,42,FALSE)</f>
        <v>0</v>
      </c>
      <c r="K115" s="34">
        <f>VLOOKUP(завтрак5,таб,42,FALSE)</f>
        <v>85.5</v>
      </c>
      <c r="L115" s="34"/>
      <c r="M115" s="27">
        <f>VLOOKUP(завтрак7,таб,42,FALSE)</f>
        <v>0</v>
      </c>
      <c r="N115" s="84"/>
      <c r="O115" s="35">
        <f>VLOOKUP(обед1,таб,42,FALSE)</f>
        <v>0</v>
      </c>
      <c r="P115" s="34">
        <f>VLOOKUP(обед2,таб,42,FALSE)</f>
        <v>0</v>
      </c>
      <c r="Q115" s="33">
        <f>VLOOKUP(обед3,таб,42,FALSE)</f>
        <v>0</v>
      </c>
      <c r="R115" s="34"/>
      <c r="S115" s="33">
        <f>VLOOKUP(обед5,таб,42,FALSE)</f>
        <v>0</v>
      </c>
      <c r="T115" s="34">
        <f>VLOOKUP(обед6,таб,42,FALSE)</f>
        <v>0</v>
      </c>
      <c r="U115" s="33">
        <f>VLOOKUP(обед7,таб,42,FALSE)</f>
        <v>0</v>
      </c>
      <c r="V115" s="34">
        <f>VLOOKUP(обед8,таб,42,FALSE)</f>
        <v>0</v>
      </c>
      <c r="W115" s="34">
        <f>VLOOKUP(полдник1,таб,42,FALSE)</f>
        <v>0</v>
      </c>
      <c r="X115" s="34">
        <f>VLOOKUP(полдник2,таб,42,FALSE)</f>
        <v>0</v>
      </c>
      <c r="Y115" s="90">
        <f>VLOOKUP(полдник3,таб,42,FALSE)</f>
        <v>0</v>
      </c>
      <c r="Z115" s="35">
        <f>VLOOKUP(ужин1,таб,42,FALSE)</f>
        <v>0</v>
      </c>
      <c r="AA115" s="33">
        <f>VLOOKUP(ужин2,таб,42,FALSE)</f>
        <v>0</v>
      </c>
      <c r="AB115" s="34">
        <f>VLOOKUP(ужин3,таб,42,FALSE)</f>
        <v>0</v>
      </c>
      <c r="AC115" s="33">
        <f>VLOOKUP(ужин4,таб,42,FALSE)</f>
        <v>0</v>
      </c>
      <c r="AD115" s="34"/>
      <c r="AE115" s="33">
        <f>VLOOKUP(ужин6,таб,42,FALSE)</f>
        <v>0</v>
      </c>
      <c r="AF115" s="34">
        <f>VLOOKUP(ужин7,таб,42,FALSE)</f>
        <v>0</v>
      </c>
      <c r="AG115" s="90">
        <f>VLOOKUP(ужин8,таб,42,FALSE)</f>
        <v>0</v>
      </c>
      <c r="AH115" s="112">
        <v>615054</v>
      </c>
      <c r="AI115" s="122">
        <f>AK115/сред</f>
        <v>0.131775</v>
      </c>
      <c r="AJ115" s="123"/>
      <c r="AK115" s="114">
        <f>SUM(G116:AG116)</f>
        <v>2.6355</v>
      </c>
      <c r="AL115" s="114"/>
      <c r="AM115" s="175">
        <v>5.95</v>
      </c>
      <c r="AN115" s="115">
        <f>AK115*AM115</f>
        <v>15.681225</v>
      </c>
      <c r="AP115">
        <v>114</v>
      </c>
      <c r="AQ115" s="61" t="s">
        <v>418</v>
      </c>
      <c r="AR115" s="61">
        <v>31</v>
      </c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>
        <v>144</v>
      </c>
      <c r="CH115" s="60"/>
      <c r="CI115" s="60">
        <v>25</v>
      </c>
      <c r="CJ115" s="60">
        <v>25</v>
      </c>
      <c r="CK115" s="60"/>
      <c r="CL115" s="60"/>
      <c r="CM115" s="60">
        <v>5</v>
      </c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>
        <v>75</v>
      </c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ht="30.75" customHeight="1">
      <c r="A116" s="128"/>
      <c r="B116" s="128"/>
      <c r="C116" s="128"/>
      <c r="D116" s="128"/>
      <c r="E116" s="129"/>
      <c r="F116" s="65" t="s">
        <v>94</v>
      </c>
      <c r="G116" s="75">
        <f aca="true" t="shared" si="134" ref="G116:M116">IF(G115=0,"",завтракл*G115/1000)</f>
      </c>
      <c r="H116" s="46">
        <f t="shared" si="134"/>
      </c>
      <c r="I116" s="45">
        <f t="shared" si="134"/>
        <v>0.84</v>
      </c>
      <c r="J116" s="46">
        <f t="shared" si="134"/>
      </c>
      <c r="K116" s="45">
        <f t="shared" si="134"/>
        <v>1.7955</v>
      </c>
      <c r="L116" s="45"/>
      <c r="M116" s="45">
        <f t="shared" si="134"/>
      </c>
      <c r="N116" s="85"/>
      <c r="O116" s="47">
        <f aca="true" t="shared" si="135" ref="O116:V116">IF(O115=0,"",обідл*O115/1000)</f>
      </c>
      <c r="P116" s="45">
        <f t="shared" si="135"/>
      </c>
      <c r="Q116" s="46">
        <f t="shared" si="135"/>
      </c>
      <c r="R116" s="45"/>
      <c r="S116" s="46">
        <f t="shared" si="135"/>
      </c>
      <c r="T116" s="45">
        <f t="shared" si="135"/>
      </c>
      <c r="U116" s="46">
        <f t="shared" si="135"/>
      </c>
      <c r="V116" s="45">
        <f t="shared" si="135"/>
      </c>
      <c r="W116" s="45">
        <f>IF(W115=0,"",полдникл*W115/1000)</f>
      </c>
      <c r="X116" s="45">
        <f>IF(X115=0,"",полдникл*X115/1000)</f>
      </c>
      <c r="Y116" s="85">
        <f>IF(Y115=0,"",полдникл*Y115/1000)</f>
      </c>
      <c r="Z116" s="47">
        <f aca="true" t="shared" si="136" ref="Z116:AG116">IF(Z115=0,"",ужинл*Z115/1000)</f>
      </c>
      <c r="AA116" s="46">
        <f t="shared" si="136"/>
      </c>
      <c r="AB116" s="45">
        <f t="shared" si="136"/>
      </c>
      <c r="AC116" s="46">
        <f t="shared" si="136"/>
      </c>
      <c r="AD116" s="45"/>
      <c r="AE116" s="46">
        <f t="shared" si="136"/>
      </c>
      <c r="AF116" s="45">
        <f t="shared" si="136"/>
      </c>
      <c r="AG116" s="85">
        <f t="shared" si="136"/>
      </c>
      <c r="AH116" s="113"/>
      <c r="AI116" s="122"/>
      <c r="AJ116" s="123"/>
      <c r="AK116" s="114"/>
      <c r="AL116" s="114"/>
      <c r="AM116" s="176"/>
      <c r="AN116" s="116"/>
      <c r="AP116">
        <v>115</v>
      </c>
      <c r="AQ116" s="61" t="s">
        <v>148</v>
      </c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>
        <v>200</v>
      </c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ht="30.75" customHeight="1">
      <c r="A117" s="153" t="s">
        <v>126</v>
      </c>
      <c r="B117" s="153"/>
      <c r="C117" s="153"/>
      <c r="D117" s="153"/>
      <c r="E117" s="154"/>
      <c r="F117" s="68" t="s">
        <v>93</v>
      </c>
      <c r="G117" s="76">
        <f>VLOOKUP(завтрак1,таб,75,FALSE)</f>
        <v>0</v>
      </c>
      <c r="H117" s="36">
        <f>VLOOKUP(завтрак2,таб,75,FALSE)</f>
        <v>0</v>
      </c>
      <c r="I117" s="37">
        <f>VLOOKUP(завтрак3,таб,75,FALSE)</f>
        <v>0</v>
      </c>
      <c r="J117" s="36">
        <f>VLOOKUP(завтрак4,таб,75,FALSE)</f>
        <v>0</v>
      </c>
      <c r="K117" s="37">
        <f>VLOOKUP(завтрак5,таб,75,FALSE)</f>
        <v>0</v>
      </c>
      <c r="L117" s="37"/>
      <c r="M117" s="27">
        <f>VLOOKUP(завтрак7,таб,75,FALSE)</f>
        <v>0</v>
      </c>
      <c r="N117" s="84"/>
      <c r="O117" s="38">
        <f>VLOOKUP(обед1,таб,75,FALSE)</f>
        <v>0</v>
      </c>
      <c r="P117" s="37">
        <f>VLOOKUP(обед2,таб,75,FALSE)</f>
        <v>0</v>
      </c>
      <c r="Q117" s="36">
        <f>VLOOKUP(обед3,таб,75,FALSE)</f>
        <v>0</v>
      </c>
      <c r="R117" s="37"/>
      <c r="S117" s="36">
        <f>VLOOKUP(обед5,таб,75,FALSE)</f>
        <v>0</v>
      </c>
      <c r="T117" s="37">
        <f>VLOOKUP(обед6,таб,75,FALSE)</f>
        <v>0</v>
      </c>
      <c r="U117" s="36">
        <f>VLOOKUP(обед7,таб,75,FALSE)</f>
        <v>0</v>
      </c>
      <c r="V117" s="37">
        <f>VLOOKUP(обед8,таб,75,FALSE)</f>
        <v>0</v>
      </c>
      <c r="W117" s="37">
        <f>VLOOKUP(полдник1,таб,75,FALSE)</f>
        <v>0</v>
      </c>
      <c r="X117" s="37">
        <f>VLOOKUP(полдник2,таб,75,FALSE)</f>
        <v>0</v>
      </c>
      <c r="Y117" s="91">
        <f>VLOOKUP(полдник3,таб,75,FALSE)</f>
        <v>0</v>
      </c>
      <c r="Z117" s="38">
        <f>VLOOKUP(ужин1,таб,75,FALSE)</f>
        <v>0</v>
      </c>
      <c r="AA117" s="36">
        <f>VLOOKUP(ужин2,таб,75,FALSE)</f>
        <v>0</v>
      </c>
      <c r="AB117" s="37">
        <f>VLOOKUP(ужин3,таб,75,FALSE)</f>
        <v>0</v>
      </c>
      <c r="AC117" s="36">
        <f>VLOOKUP(ужин4,таб,75,FALSE)</f>
        <v>0</v>
      </c>
      <c r="AD117" s="37"/>
      <c r="AE117" s="36">
        <f>VLOOKUP(ужин6,таб,75,FALSE)</f>
        <v>0</v>
      </c>
      <c r="AF117" s="37">
        <f>VLOOKUP(ужин7,таб,75,FALSE)</f>
        <v>0</v>
      </c>
      <c r="AG117" s="91">
        <f>VLOOKUP(ужин8,таб,75,FALSE)</f>
        <v>0</v>
      </c>
      <c r="AH117" s="112"/>
      <c r="AI117" s="122">
        <f>AK117/сред</f>
        <v>0</v>
      </c>
      <c r="AJ117" s="123"/>
      <c r="AK117" s="114">
        <f>SUM(G118:AG118)</f>
        <v>0</v>
      </c>
      <c r="AL117" s="114"/>
      <c r="AM117" s="175">
        <f>IF(AK117=0,0,DM117)</f>
        <v>0</v>
      </c>
      <c r="AN117" s="115">
        <f>AK117*AM117</f>
        <v>0</v>
      </c>
      <c r="AQ117" s="9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93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93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0"/>
      <c r="DU117" s="60"/>
      <c r="DV117" s="60"/>
      <c r="DW117" s="60"/>
      <c r="DX117" s="60"/>
      <c r="DY117" s="60"/>
    </row>
    <row r="118" spans="1:129" ht="30.75" customHeight="1">
      <c r="A118" s="157"/>
      <c r="B118" s="157"/>
      <c r="C118" s="157"/>
      <c r="D118" s="157"/>
      <c r="E118" s="158"/>
      <c r="F118" s="65" t="s">
        <v>94</v>
      </c>
      <c r="G118" s="77">
        <f aca="true" t="shared" si="137" ref="G118:M118">IF(G117=0,"",завтракл*G117/1000)</f>
      </c>
      <c r="H118" s="48">
        <f t="shared" si="137"/>
      </c>
      <c r="I118" s="44">
        <f t="shared" si="137"/>
      </c>
      <c r="J118" s="48">
        <f t="shared" si="137"/>
      </c>
      <c r="K118" s="44">
        <f t="shared" si="137"/>
      </c>
      <c r="L118" s="44"/>
      <c r="M118" s="45">
        <f t="shared" si="137"/>
      </c>
      <c r="N118" s="85"/>
      <c r="O118" s="49">
        <f aca="true" t="shared" si="138" ref="O118:V118">IF(O117=0,"",обідл*O117/1000)</f>
      </c>
      <c r="P118" s="44">
        <f t="shared" si="138"/>
      </c>
      <c r="Q118" s="48">
        <f t="shared" si="138"/>
      </c>
      <c r="R118" s="44"/>
      <c r="S118" s="48">
        <f t="shared" si="138"/>
      </c>
      <c r="T118" s="44">
        <f t="shared" si="138"/>
      </c>
      <c r="U118" s="48">
        <f t="shared" si="138"/>
      </c>
      <c r="V118" s="44">
        <f t="shared" si="138"/>
      </c>
      <c r="W118" s="44">
        <f>IF(W117=0,"",полдникл*W117/1000)</f>
      </c>
      <c r="X118" s="44">
        <f>IF(X117=0,"",полдникл*X117/1000)</f>
      </c>
      <c r="Y118" s="88">
        <f>IF(Y117=0,"",полдникл*Y117/1000)</f>
      </c>
      <c r="Z118" s="49">
        <f aca="true" t="shared" si="139" ref="Z118:AG118">IF(Z117=0,"",ужинл*Z117/1000)</f>
      </c>
      <c r="AA118" s="48">
        <f t="shared" si="139"/>
      </c>
      <c r="AB118" s="44">
        <f t="shared" si="139"/>
      </c>
      <c r="AC118" s="48">
        <f t="shared" si="139"/>
      </c>
      <c r="AD118" s="44"/>
      <c r="AE118" s="48">
        <f t="shared" si="139"/>
      </c>
      <c r="AF118" s="44">
        <f t="shared" si="139"/>
      </c>
      <c r="AG118" s="88">
        <f t="shared" si="139"/>
      </c>
      <c r="AH118" s="113"/>
      <c r="AI118" s="122"/>
      <c r="AJ118" s="123"/>
      <c r="AK118" s="114"/>
      <c r="AL118" s="114"/>
      <c r="AM118" s="176"/>
      <c r="AN118" s="116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ht="30.75" customHeight="1">
      <c r="A119" s="128" t="s">
        <v>451</v>
      </c>
      <c r="B119" s="128"/>
      <c r="C119" s="128"/>
      <c r="D119" s="128"/>
      <c r="E119" s="129"/>
      <c r="F119" s="68" t="s">
        <v>93</v>
      </c>
      <c r="G119" s="74">
        <f>VLOOKUP(завтрак1,таб,76,FALSE)</f>
        <v>0</v>
      </c>
      <c r="H119" s="33">
        <f>VLOOKUP(завтрак2,таб,76,FALSE)</f>
        <v>0</v>
      </c>
      <c r="I119" s="34">
        <f>VLOOKUP(завтрак3,таб,76,FALSE)</f>
        <v>0</v>
      </c>
      <c r="J119" s="33">
        <f>VLOOKUP(завтрак4,таб,76,FALSE)</f>
        <v>0</v>
      </c>
      <c r="K119" s="34">
        <f>VLOOKUP(завтрак5,таб,76,FALSE)</f>
        <v>0</v>
      </c>
      <c r="L119" s="34"/>
      <c r="M119" s="27">
        <f>VLOOKUP(завтрак7,таб,76,FALSE)</f>
        <v>0</v>
      </c>
      <c r="N119" s="84"/>
      <c r="O119" s="35">
        <f>VLOOKUP(обед1,таб,76,FALSE)</f>
        <v>0</v>
      </c>
      <c r="P119" s="34">
        <f>VLOOKUP(обед2,таб,76,FALSE)</f>
        <v>0</v>
      </c>
      <c r="Q119" s="33">
        <f>VLOOKUP(обед3,таб,76,FALSE)</f>
        <v>0</v>
      </c>
      <c r="R119" s="34"/>
      <c r="S119" s="33">
        <f>VLOOKUP(обед5,таб,76,FALSE)</f>
        <v>0</v>
      </c>
      <c r="T119" s="34">
        <f>VLOOKUP(обед6,таб,76,FALSE)</f>
        <v>0</v>
      </c>
      <c r="U119" s="33">
        <f>VLOOKUP(обед7,таб,76,FALSE)</f>
        <v>0</v>
      </c>
      <c r="V119" s="34">
        <f>VLOOKUP(обед8,таб,76,FALSE)</f>
        <v>0</v>
      </c>
      <c r="W119" s="34">
        <f>VLOOKUP(полдник1,таб,76,FALSE)</f>
        <v>0</v>
      </c>
      <c r="X119" s="34">
        <f>VLOOKUP(полдник2,таб,76,FALSE)</f>
        <v>0</v>
      </c>
      <c r="Y119" s="90">
        <f>VLOOKUP(полдник3,таб,76,FALSE)</f>
        <v>0</v>
      </c>
      <c r="Z119" s="35">
        <f>VLOOKUP(ужин1,таб,76,FALSE)</f>
        <v>0</v>
      </c>
      <c r="AA119" s="33">
        <f>VLOOKUP(ужин2,таб,76,FALSE)</f>
        <v>0</v>
      </c>
      <c r="AB119" s="34">
        <f>VLOOKUP(ужин3,таб,76,FALSE)</f>
        <v>0</v>
      </c>
      <c r="AC119" s="33">
        <f>VLOOKUP(ужин4,таб,76,FALSE)</f>
        <v>0</v>
      </c>
      <c r="AD119" s="34"/>
      <c r="AE119" s="33">
        <f>VLOOKUP(ужин6,таб,76,FALSE)</f>
        <v>0</v>
      </c>
      <c r="AF119" s="34">
        <f>VLOOKUP(ужин7,таб,76,FALSE)</f>
        <v>0</v>
      </c>
      <c r="AG119" s="90">
        <f>VLOOKUP(ужин8,таб,76,FALSE)</f>
        <v>0</v>
      </c>
      <c r="AH119" s="112"/>
      <c r="AI119" s="122">
        <f>AK119/сред</f>
        <v>0</v>
      </c>
      <c r="AJ119" s="123"/>
      <c r="AK119" s="114">
        <f>SUM(G120:AG120)</f>
        <v>0</v>
      </c>
      <c r="AL119" s="114"/>
      <c r="AM119" s="175">
        <f>IF(AK119=0,0,DN117)</f>
        <v>0</v>
      </c>
      <c r="AN119" s="115">
        <f>AK119*AM119</f>
        <v>0</v>
      </c>
      <c r="AP119">
        <v>116</v>
      </c>
      <c r="AQ119" s="60" t="s">
        <v>166</v>
      </c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>
        <v>12</v>
      </c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>
        <v>85.5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>
        <v>75</v>
      </c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ht="30.75" customHeight="1">
      <c r="A120" s="128"/>
      <c r="B120" s="128"/>
      <c r="C120" s="128"/>
      <c r="D120" s="128"/>
      <c r="E120" s="129"/>
      <c r="F120" s="65" t="s">
        <v>94</v>
      </c>
      <c r="G120" s="75">
        <f aca="true" t="shared" si="140" ref="G120:M120">IF(G119=0,"",завтракл*G119/1000)</f>
      </c>
      <c r="H120" s="46">
        <f t="shared" si="140"/>
      </c>
      <c r="I120" s="45">
        <f t="shared" si="140"/>
      </c>
      <c r="J120" s="46">
        <f t="shared" si="140"/>
      </c>
      <c r="K120" s="45">
        <f t="shared" si="140"/>
      </c>
      <c r="L120" s="45"/>
      <c r="M120" s="45">
        <f t="shared" si="140"/>
      </c>
      <c r="N120" s="85"/>
      <c r="O120" s="47">
        <f aca="true" t="shared" si="141" ref="O120:V120">IF(O119=0,"",обідл*O119/1000)</f>
      </c>
      <c r="P120" s="45">
        <f t="shared" si="141"/>
      </c>
      <c r="Q120" s="46">
        <f t="shared" si="141"/>
      </c>
      <c r="R120" s="45"/>
      <c r="S120" s="46">
        <f t="shared" si="141"/>
      </c>
      <c r="T120" s="45">
        <f t="shared" si="141"/>
      </c>
      <c r="U120" s="46">
        <f t="shared" si="141"/>
      </c>
      <c r="V120" s="45">
        <f t="shared" si="141"/>
      </c>
      <c r="W120" s="45">
        <f>IF(W119=0,"",полдникл*W119/1000)</f>
      </c>
      <c r="X120" s="45">
        <f>IF(X119=0,"",полдникл*X119/1000)</f>
      </c>
      <c r="Y120" s="85">
        <f>IF(Y119=0,"",полдникл*Y119/1000)</f>
      </c>
      <c r="Z120" s="47">
        <f aca="true" t="shared" si="142" ref="Z120:AG120">IF(Z119=0,"",ужинл*Z119/1000)</f>
      </c>
      <c r="AA120" s="46">
        <f t="shared" si="142"/>
      </c>
      <c r="AB120" s="45">
        <f t="shared" si="142"/>
      </c>
      <c r="AC120" s="46">
        <f t="shared" si="142"/>
      </c>
      <c r="AD120" s="45"/>
      <c r="AE120" s="46">
        <f t="shared" si="142"/>
      </c>
      <c r="AF120" s="45">
        <f t="shared" si="142"/>
      </c>
      <c r="AG120" s="85">
        <f t="shared" si="142"/>
      </c>
      <c r="AH120" s="113"/>
      <c r="AI120" s="122"/>
      <c r="AJ120" s="123"/>
      <c r="AK120" s="114"/>
      <c r="AL120" s="114"/>
      <c r="AM120" s="176"/>
      <c r="AN120" s="116"/>
      <c r="AP120">
        <v>117</v>
      </c>
      <c r="AQ120" s="60" t="s">
        <v>167</v>
      </c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>
        <v>2.3</v>
      </c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>
        <v>97.1</v>
      </c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>
        <v>75</v>
      </c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ht="30.75" customHeight="1">
      <c r="A121" s="153" t="s">
        <v>109</v>
      </c>
      <c r="B121" s="153"/>
      <c r="C121" s="153"/>
      <c r="D121" s="153"/>
      <c r="E121" s="154"/>
      <c r="F121" s="68" t="s">
        <v>93</v>
      </c>
      <c r="G121" s="76">
        <f>VLOOKUP(завтрак1,таб,77,FALSE)</f>
        <v>0</v>
      </c>
      <c r="H121" s="36">
        <f>VLOOKUP(завтрак2,таб,77,FALSE)</f>
        <v>0</v>
      </c>
      <c r="I121" s="37">
        <f>VLOOKUP(завтрак3,таб,77,FALSE)</f>
        <v>0</v>
      </c>
      <c r="J121" s="36">
        <f>VLOOKUP(завтрак4,таб,77,FALSE)</f>
        <v>0</v>
      </c>
      <c r="K121" s="37">
        <f>VLOOKUP(завтрак5,таб,77,FALSE)</f>
        <v>0</v>
      </c>
      <c r="L121" s="37"/>
      <c r="M121" s="27">
        <f>VLOOKUP(завтрак7,таб,77,FALSE)</f>
        <v>0</v>
      </c>
      <c r="N121" s="84"/>
      <c r="O121" s="38">
        <f>VLOOKUP(обед1,таб,77,FALSE)</f>
        <v>0</v>
      </c>
      <c r="P121" s="37">
        <f>VLOOKUP(обед2,таб,77,FALSE)</f>
        <v>0</v>
      </c>
      <c r="Q121" s="36">
        <f>VLOOKUP(обед3,таб,77,FALSE)</f>
        <v>0</v>
      </c>
      <c r="R121" s="37"/>
      <c r="S121" s="36">
        <f>VLOOKUP(обед5,таб,77,FALSE)</f>
        <v>0</v>
      </c>
      <c r="T121" s="37">
        <f>VLOOKUP(обед6,таб,77,FALSE)</f>
        <v>0</v>
      </c>
      <c r="U121" s="36">
        <f>VLOOKUP(обед7,таб,77,FALSE)</f>
        <v>0</v>
      </c>
      <c r="V121" s="37">
        <f>VLOOKUP(обед8,таб,77,FALSE)</f>
        <v>0</v>
      </c>
      <c r="W121" s="37">
        <f>VLOOKUP(полдник1,таб,77,FALSE)</f>
        <v>0</v>
      </c>
      <c r="X121" s="37">
        <f>VLOOKUP(полдник2,таб,77,FALSE)</f>
        <v>0</v>
      </c>
      <c r="Y121" s="91">
        <f>VLOOKUP(полдник3,таб,77,FALSE)</f>
        <v>0</v>
      </c>
      <c r="Z121" s="38">
        <f>VLOOKUP(ужин1,таб,77,FALSE)</f>
        <v>0</v>
      </c>
      <c r="AA121" s="36">
        <f>VLOOKUP(ужин2,таб,77,FALSE)</f>
        <v>0</v>
      </c>
      <c r="AB121" s="37">
        <f>VLOOKUP(ужин3,таб,77,FALSE)</f>
        <v>0</v>
      </c>
      <c r="AC121" s="36">
        <f>VLOOKUP(ужин4,таб,77,FALSE)</f>
        <v>0</v>
      </c>
      <c r="AD121" s="37"/>
      <c r="AE121" s="36">
        <f>VLOOKUP(ужин6,таб,77,FALSE)</f>
        <v>0</v>
      </c>
      <c r="AF121" s="37">
        <f>VLOOKUP(ужин7,таб,77,FALSE)</f>
        <v>0</v>
      </c>
      <c r="AG121" s="91">
        <f>VLOOKUP(ужин8,таб,77,FALSE)</f>
        <v>0</v>
      </c>
      <c r="AH121" s="112"/>
      <c r="AI121" s="122">
        <f>AK121/сред</f>
        <v>0</v>
      </c>
      <c r="AJ121" s="123"/>
      <c r="AK121" s="114">
        <f>SUM(G122:AG122)</f>
        <v>0</v>
      </c>
      <c r="AL121" s="114"/>
      <c r="AM121" s="175">
        <f>IF(AK121=0,0,DO117)</f>
        <v>0</v>
      </c>
      <c r="AN121" s="115">
        <f>AK121*AM121</f>
        <v>0</v>
      </c>
      <c r="AP121">
        <v>118</v>
      </c>
      <c r="AQ121" s="61" t="s">
        <v>168</v>
      </c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>
        <v>3.8</v>
      </c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>
        <v>77.8</v>
      </c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>
        <v>2.7</v>
      </c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103">
        <v>75</v>
      </c>
      <c r="DF121" s="61"/>
      <c r="DG121" s="61">
        <v>6.9</v>
      </c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0"/>
    </row>
    <row r="122" spans="1:129" ht="30.75" customHeight="1">
      <c r="A122" s="157"/>
      <c r="B122" s="157"/>
      <c r="C122" s="157"/>
      <c r="D122" s="157"/>
      <c r="E122" s="158"/>
      <c r="F122" s="65" t="s">
        <v>94</v>
      </c>
      <c r="G122" s="77">
        <f aca="true" t="shared" si="143" ref="G122:M122">IF(G121=0,"",завтракл*G121/1000)</f>
      </c>
      <c r="H122" s="48">
        <f t="shared" si="143"/>
      </c>
      <c r="I122" s="44">
        <f t="shared" si="143"/>
      </c>
      <c r="J122" s="48">
        <f t="shared" si="143"/>
      </c>
      <c r="K122" s="44">
        <f t="shared" si="143"/>
      </c>
      <c r="L122" s="44"/>
      <c r="M122" s="45">
        <f t="shared" si="143"/>
      </c>
      <c r="N122" s="85"/>
      <c r="O122" s="49">
        <f aca="true" t="shared" si="144" ref="O122:V122">IF(O121=0,"",обідл*O121/1000)</f>
      </c>
      <c r="P122" s="44">
        <f t="shared" si="144"/>
      </c>
      <c r="Q122" s="48">
        <f t="shared" si="144"/>
      </c>
      <c r="R122" s="44"/>
      <c r="S122" s="48">
        <f t="shared" si="144"/>
      </c>
      <c r="T122" s="44">
        <f t="shared" si="144"/>
      </c>
      <c r="U122" s="48">
        <f t="shared" si="144"/>
      </c>
      <c r="V122" s="44">
        <f t="shared" si="144"/>
      </c>
      <c r="W122" s="44">
        <f>IF(W121=0,"",полдникл*W121/1000)</f>
      </c>
      <c r="X122" s="44">
        <f>IF(X121=0,"",полдникл*X121/1000)</f>
      </c>
      <c r="Y122" s="88">
        <f>IF(Y121=0,"",полдникл*Y121/1000)</f>
      </c>
      <c r="Z122" s="49">
        <f aca="true" t="shared" si="145" ref="Z122:AG122">IF(Z121=0,"",ужинл*Z121/1000)</f>
      </c>
      <c r="AA122" s="48">
        <f t="shared" si="145"/>
      </c>
      <c r="AB122" s="44">
        <f t="shared" si="145"/>
      </c>
      <c r="AC122" s="48">
        <f t="shared" si="145"/>
      </c>
      <c r="AD122" s="44"/>
      <c r="AE122" s="48">
        <f t="shared" si="145"/>
      </c>
      <c r="AF122" s="44">
        <f t="shared" si="145"/>
      </c>
      <c r="AG122" s="88">
        <f t="shared" si="145"/>
      </c>
      <c r="AH122" s="113"/>
      <c r="AI122" s="122"/>
      <c r="AJ122" s="123"/>
      <c r="AK122" s="114"/>
      <c r="AL122" s="114"/>
      <c r="AM122" s="176"/>
      <c r="AN122" s="116"/>
      <c r="AP122">
        <v>119</v>
      </c>
      <c r="AQ122" s="60" t="s">
        <v>169</v>
      </c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>
        <v>7.5</v>
      </c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>
        <v>1.5</v>
      </c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>
        <v>85.1</v>
      </c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>
        <v>75</v>
      </c>
      <c r="DF122" s="60"/>
      <c r="DG122" s="60"/>
      <c r="DH122" s="60"/>
      <c r="DI122" s="60"/>
      <c r="DJ122" s="60"/>
      <c r="DK122" s="60"/>
      <c r="DL122" s="60"/>
      <c r="DM122" s="60">
        <v>3.8</v>
      </c>
      <c r="DN122" s="60"/>
      <c r="DO122" s="61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ht="30.75" customHeight="1">
      <c r="A123" s="128" t="s">
        <v>106</v>
      </c>
      <c r="B123" s="128"/>
      <c r="C123" s="128"/>
      <c r="D123" s="128"/>
      <c r="E123" s="129"/>
      <c r="F123" s="68" t="s">
        <v>93</v>
      </c>
      <c r="G123" s="74">
        <f>VLOOKUP(завтрак1,таб,86,FALSE)</f>
        <v>0</v>
      </c>
      <c r="H123" s="33">
        <f>VLOOKUP(завтрак2,таб,86,FALSE)</f>
        <v>0.8</v>
      </c>
      <c r="I123" s="34">
        <f>VLOOKUP(завтрак3,таб,86,FALSE)</f>
        <v>0</v>
      </c>
      <c r="J123" s="33">
        <f>VLOOKUP(завтрак4,таб,86,FALSE)</f>
        <v>0</v>
      </c>
      <c r="K123" s="34">
        <f>VLOOKUP(завтрак5,таб,86,FALSE)</f>
        <v>0</v>
      </c>
      <c r="L123" s="34"/>
      <c r="M123" s="27">
        <f>VLOOKUP(завтрак7,таб,86,FALSE)</f>
        <v>0</v>
      </c>
      <c r="N123" s="84"/>
      <c r="O123" s="35">
        <f>VLOOKUP(обед1,таб,86,FALSE)</f>
        <v>0</v>
      </c>
      <c r="P123" s="34">
        <f>VLOOKUP(обед2,таб,86,FALSE)</f>
        <v>0</v>
      </c>
      <c r="Q123" s="33">
        <f>VLOOKUP(обед3,таб,86,FALSE)</f>
        <v>0</v>
      </c>
      <c r="R123" s="34"/>
      <c r="S123" s="33">
        <f>VLOOKUP(обед5,таб,86,FALSE)</f>
        <v>0</v>
      </c>
      <c r="T123" s="34">
        <f>VLOOKUP(обед6,таб,86,FALSE)</f>
        <v>0</v>
      </c>
      <c r="U123" s="33">
        <f>VLOOKUP(обед7,таб,86,FALSE)</f>
        <v>0</v>
      </c>
      <c r="V123" s="34">
        <f>VLOOKUP(обед8,таб,86,FALSE)</f>
        <v>0</v>
      </c>
      <c r="W123" s="34">
        <f>VLOOKUP(полдник1,таб,86,FALSE)</f>
        <v>0</v>
      </c>
      <c r="X123" s="34">
        <f>VLOOKUP(полдник2,таб,86,FALSE)</f>
        <v>0</v>
      </c>
      <c r="Y123" s="90">
        <f>VLOOKUP(полдник3,таб,86,FALSE)</f>
        <v>0</v>
      </c>
      <c r="Z123" s="35">
        <f>VLOOKUP(ужин1,таб,86,FALSE)</f>
        <v>0</v>
      </c>
      <c r="AA123" s="33">
        <f>VLOOKUP(ужин2,таб,86,FALSE)</f>
        <v>0</v>
      </c>
      <c r="AB123" s="34">
        <f>VLOOKUP(ужин3,таб,86,FALSE)</f>
        <v>0</v>
      </c>
      <c r="AC123" s="33">
        <f>VLOOKUP(ужин4,таб,86,FALSE)</f>
        <v>0</v>
      </c>
      <c r="AD123" s="34"/>
      <c r="AE123" s="33">
        <f>VLOOKUP(ужин6,таб,86,FALSE)</f>
        <v>0</v>
      </c>
      <c r="AF123" s="34">
        <f>VLOOKUP(ужин7,таб,86,FALSE)</f>
        <v>0</v>
      </c>
      <c r="AG123" s="90">
        <f>VLOOKUP(ужин8,таб,86,FALSE)</f>
        <v>0</v>
      </c>
      <c r="AH123" s="112"/>
      <c r="AI123" s="122">
        <f>AK123/сред</f>
        <v>0.0008400000000000001</v>
      </c>
      <c r="AJ123" s="123"/>
      <c r="AK123" s="114">
        <f>SUM(G124:AG124)</f>
        <v>0.016800000000000002</v>
      </c>
      <c r="AL123" s="114"/>
      <c r="AM123" s="175">
        <v>58</v>
      </c>
      <c r="AN123" s="115">
        <f>AK123*AM123</f>
        <v>0.9744000000000002</v>
      </c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30" ht="30.75" customHeight="1">
      <c r="A124" s="128"/>
      <c r="B124" s="128"/>
      <c r="C124" s="128"/>
      <c r="D124" s="128"/>
      <c r="E124" s="129"/>
      <c r="F124" s="65" t="s">
        <v>94</v>
      </c>
      <c r="G124" s="75">
        <f aca="true" t="shared" si="146" ref="G124:M124">IF(G123=0,"",завтракл*G123/1000)</f>
      </c>
      <c r="H124" s="46">
        <f t="shared" si="146"/>
        <v>0.016800000000000002</v>
      </c>
      <c r="I124" s="45">
        <f t="shared" si="146"/>
      </c>
      <c r="J124" s="46">
        <f t="shared" si="146"/>
      </c>
      <c r="K124" s="45">
        <f t="shared" si="146"/>
      </c>
      <c r="L124" s="45"/>
      <c r="M124" s="45">
        <f t="shared" si="146"/>
      </c>
      <c r="N124" s="85"/>
      <c r="O124" s="47">
        <f aca="true" t="shared" si="147" ref="O124:V124">IF(O123=0,"",обідл*O123/1000)</f>
      </c>
      <c r="P124" s="45">
        <f t="shared" si="147"/>
      </c>
      <c r="Q124" s="46">
        <f t="shared" si="147"/>
      </c>
      <c r="R124" s="45"/>
      <c r="S124" s="46">
        <f t="shared" si="147"/>
      </c>
      <c r="T124" s="45">
        <f t="shared" si="147"/>
      </c>
      <c r="U124" s="46">
        <f t="shared" si="147"/>
      </c>
      <c r="V124" s="45">
        <f t="shared" si="147"/>
      </c>
      <c r="W124" s="45">
        <f>IF(W123=0,"",полдникл*W123/1000)</f>
      </c>
      <c r="X124" s="45">
        <f>IF(X123=0,"",полдникл*X123/1000)</f>
      </c>
      <c r="Y124" s="85">
        <f>IF(Y123=0,"",полдникл*Y123/1000)</f>
      </c>
      <c r="Z124" s="47">
        <f aca="true" t="shared" si="148" ref="Z124:AG124">IF(Z123=0,"",ужинл*Z123/1000)</f>
      </c>
      <c r="AA124" s="46">
        <f t="shared" si="148"/>
      </c>
      <c r="AB124" s="45">
        <f t="shared" si="148"/>
      </c>
      <c r="AC124" s="46">
        <f t="shared" si="148"/>
      </c>
      <c r="AD124" s="45"/>
      <c r="AE124" s="46">
        <f t="shared" si="148"/>
      </c>
      <c r="AF124" s="45">
        <f t="shared" si="148"/>
      </c>
      <c r="AG124" s="85">
        <f t="shared" si="148"/>
      </c>
      <c r="AH124" s="113"/>
      <c r="AI124" s="122"/>
      <c r="AJ124" s="123"/>
      <c r="AK124" s="114"/>
      <c r="AL124" s="114"/>
      <c r="AM124" s="176"/>
      <c r="AN124" s="116"/>
      <c r="AP124">
        <v>120</v>
      </c>
      <c r="AQ124" s="60" t="s">
        <v>170</v>
      </c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>
        <v>7.5</v>
      </c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>
        <v>2.3</v>
      </c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>
        <v>73.5</v>
      </c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>
        <v>75</v>
      </c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>
        <v>3.8</v>
      </c>
      <c r="DZ124">
        <v>15</v>
      </c>
    </row>
    <row r="125" spans="1:131" ht="30.75" customHeight="1">
      <c r="A125" s="153" t="s">
        <v>35</v>
      </c>
      <c r="B125" s="153"/>
      <c r="C125" s="153"/>
      <c r="D125" s="153"/>
      <c r="E125" s="154"/>
      <c r="F125" s="68" t="s">
        <v>93</v>
      </c>
      <c r="G125" s="76">
        <f>VLOOKUP(завтрак1,таб,43,FALSE)</f>
        <v>0</v>
      </c>
      <c r="H125" s="36">
        <f>VLOOKUP(завтрак2,таб,43,FALSE)</f>
        <v>58</v>
      </c>
      <c r="I125" s="37">
        <f>VLOOKUP(завтрак3,таб,43,FALSE)</f>
        <v>0</v>
      </c>
      <c r="J125" s="36">
        <f>VLOOKUP(завтрак4,таб,43,FALSE)</f>
        <v>0</v>
      </c>
      <c r="K125" s="37">
        <f>VLOOKUP(завтрак5,таб,43,FALSE)</f>
        <v>0</v>
      </c>
      <c r="L125" s="37"/>
      <c r="M125" s="27">
        <f>VLOOKUP(завтрак7,таб,43,FALSE)</f>
        <v>0</v>
      </c>
      <c r="N125" s="84"/>
      <c r="O125" s="38">
        <f>VLOOKUP(обед1,таб,43,FALSE)</f>
        <v>0</v>
      </c>
      <c r="P125" s="37">
        <f>VLOOKUP(обед2,таб,43,FALSE)</f>
        <v>125</v>
      </c>
      <c r="Q125" s="36">
        <f>VLOOKUP(обед3,таб,43,FALSE)</f>
        <v>0</v>
      </c>
      <c r="R125" s="37"/>
      <c r="S125" s="36">
        <f>VLOOKUP(обед5,таб,43,FALSE)</f>
        <v>0</v>
      </c>
      <c r="T125" s="37">
        <f>VLOOKUP(обед6,таб,43,FALSE)</f>
        <v>0</v>
      </c>
      <c r="U125" s="36">
        <f>VLOOKUP(обед7,таб,43,FALSE)</f>
        <v>0</v>
      </c>
      <c r="V125" s="37">
        <f>VLOOKUP(обед8,таб,43,FALSE)</f>
        <v>0</v>
      </c>
      <c r="W125" s="37">
        <f>VLOOKUP(полдник1,таб,43,FALSE)</f>
        <v>0</v>
      </c>
      <c r="X125" s="37">
        <f>VLOOKUP(полдник2,таб,43,FALSE)</f>
        <v>0</v>
      </c>
      <c r="Y125" s="91">
        <f>VLOOKUP(полдник3,таб,43,FALSE)</f>
        <v>0</v>
      </c>
      <c r="Z125" s="38">
        <f>VLOOKUP(ужин1,таб,43,FALSE)</f>
        <v>0</v>
      </c>
      <c r="AA125" s="36">
        <f>VLOOKUP(ужин2,таб,43,FALSE)</f>
        <v>0</v>
      </c>
      <c r="AB125" s="37">
        <f>VLOOKUP(ужин3,таб,43,FALSE)</f>
        <v>0</v>
      </c>
      <c r="AC125" s="36">
        <f>VLOOKUP(ужин4,таб,43,FALSE)</f>
        <v>0</v>
      </c>
      <c r="AD125" s="37"/>
      <c r="AE125" s="36">
        <f>VLOOKUP(ужин6,таб,43,FALSE)</f>
        <v>0</v>
      </c>
      <c r="AF125" s="37">
        <f>VLOOKUP(ужин7,таб,43,FALSE)</f>
        <v>0</v>
      </c>
      <c r="AG125" s="91">
        <f>VLOOKUP(ужин8,таб,43,FALSE)</f>
        <v>0</v>
      </c>
      <c r="AH125" s="112">
        <v>615078</v>
      </c>
      <c r="AI125" s="122">
        <f>AK125/сред</f>
        <v>0.19215</v>
      </c>
      <c r="AJ125" s="123"/>
      <c r="AK125" s="114">
        <f>SUM(G126:AG126)</f>
        <v>3.843</v>
      </c>
      <c r="AL125" s="114"/>
      <c r="AM125" s="175">
        <v>8</v>
      </c>
      <c r="AN125" s="115">
        <f>AK125*AM125</f>
        <v>30.744</v>
      </c>
      <c r="AP125">
        <v>121</v>
      </c>
      <c r="AQ125" s="60" t="s">
        <v>174</v>
      </c>
      <c r="AR125" s="60"/>
      <c r="AS125" s="60"/>
      <c r="AT125" s="60"/>
      <c r="AU125" s="60"/>
      <c r="AV125" s="60"/>
      <c r="AW125" s="60"/>
      <c r="AX125" s="60"/>
      <c r="AY125" s="60">
        <v>33.8</v>
      </c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>
        <v>30.8</v>
      </c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>
        <v>75</v>
      </c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>
        <v>12</v>
      </c>
      <c r="EA125">
        <v>26.3</v>
      </c>
    </row>
    <row r="126" spans="1:132" ht="30.75" customHeight="1">
      <c r="A126" s="157"/>
      <c r="B126" s="157"/>
      <c r="C126" s="157"/>
      <c r="D126" s="157"/>
      <c r="E126" s="158"/>
      <c r="F126" s="65" t="s">
        <v>94</v>
      </c>
      <c r="G126" s="77">
        <f aca="true" t="shared" si="149" ref="G126:M126">IF(G125=0,"",завтракл*G125/1000)</f>
      </c>
      <c r="H126" s="48">
        <f t="shared" si="149"/>
        <v>1.218</v>
      </c>
      <c r="I126" s="44">
        <f t="shared" si="149"/>
      </c>
      <c r="J126" s="48">
        <f t="shared" si="149"/>
      </c>
      <c r="K126" s="44">
        <f t="shared" si="149"/>
      </c>
      <c r="L126" s="44"/>
      <c r="M126" s="45">
        <f t="shared" si="149"/>
      </c>
      <c r="N126" s="85"/>
      <c r="O126" s="49">
        <f aca="true" t="shared" si="150" ref="O126:V126">IF(O125=0,"",обідл*O125/1000)</f>
      </c>
      <c r="P126" s="44">
        <f t="shared" si="150"/>
        <v>2.625</v>
      </c>
      <c r="Q126" s="48">
        <f t="shared" si="150"/>
      </c>
      <c r="R126" s="44"/>
      <c r="S126" s="48">
        <f t="shared" si="150"/>
      </c>
      <c r="T126" s="44">
        <f t="shared" si="150"/>
      </c>
      <c r="U126" s="48">
        <f t="shared" si="150"/>
      </c>
      <c r="V126" s="44">
        <f t="shared" si="150"/>
      </c>
      <c r="W126" s="44">
        <f>IF(W125=0,"",полдникл*W125/1000)</f>
      </c>
      <c r="X126" s="44">
        <f>IF(X125=0,"",полдникл*X125/1000)</f>
      </c>
      <c r="Y126" s="88">
        <f>IF(Y125=0,"",полдникл*Y125/1000)</f>
      </c>
      <c r="Z126" s="49">
        <f aca="true" t="shared" si="151" ref="Z126:AG126">IF(Z125=0,"",ужинл*Z125/1000)</f>
      </c>
      <c r="AA126" s="48">
        <f>IF(AA125=0,"",ужинл*AA125/1000)</f>
      </c>
      <c r="AB126" s="44">
        <f t="shared" si="151"/>
      </c>
      <c r="AC126" s="48">
        <f t="shared" si="151"/>
      </c>
      <c r="AD126" s="44"/>
      <c r="AE126" s="48">
        <f t="shared" si="151"/>
      </c>
      <c r="AF126" s="44">
        <f t="shared" si="151"/>
      </c>
      <c r="AG126" s="88">
        <f t="shared" si="151"/>
      </c>
      <c r="AH126" s="113"/>
      <c r="AI126" s="122"/>
      <c r="AJ126" s="123"/>
      <c r="AK126" s="114"/>
      <c r="AL126" s="114"/>
      <c r="AM126" s="176"/>
      <c r="AN126" s="116"/>
      <c r="AP126">
        <v>122</v>
      </c>
      <c r="AQ126" s="60" t="s">
        <v>176</v>
      </c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>
        <v>2.3</v>
      </c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>
        <v>73.5</v>
      </c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>
        <v>75</v>
      </c>
      <c r="DF126" s="60"/>
      <c r="DG126" s="60">
        <v>12.4</v>
      </c>
      <c r="DH126" s="60">
        <v>0.4</v>
      </c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EB126">
        <v>11.3</v>
      </c>
    </row>
    <row r="127" spans="1:127" ht="30.75" customHeight="1">
      <c r="A127" s="128" t="s">
        <v>122</v>
      </c>
      <c r="B127" s="128"/>
      <c r="C127" s="128"/>
      <c r="D127" s="128"/>
      <c r="E127" s="129"/>
      <c r="F127" s="68" t="s">
        <v>93</v>
      </c>
      <c r="G127" s="74">
        <f>VLOOKUP(завтрак1,таб,44,FALSE)</f>
        <v>26.3</v>
      </c>
      <c r="H127" s="33">
        <f>VLOOKUP(завтрак2,таб,44,FALSE)</f>
        <v>0</v>
      </c>
      <c r="I127" s="34">
        <f>VLOOKUP(завтрак3,таб,44,FALSE)</f>
        <v>0</v>
      </c>
      <c r="J127" s="33">
        <f>VLOOKUP(завтрак4,таб,44,FALSE)</f>
        <v>0</v>
      </c>
      <c r="K127" s="34">
        <f>VLOOKUP(завтрак5,таб,44,FALSE)</f>
        <v>0</v>
      </c>
      <c r="L127" s="34"/>
      <c r="M127" s="27">
        <f>VLOOKUP(завтрак7,таб,44,FALSE)</f>
        <v>0</v>
      </c>
      <c r="N127" s="84"/>
      <c r="O127" s="35">
        <f>VLOOKUP(обед1,таб,44,FALSE)</f>
        <v>89.1</v>
      </c>
      <c r="P127" s="34">
        <f>VLOOKUP(обед2,таб,44,FALSE)</f>
        <v>0</v>
      </c>
      <c r="Q127" s="33">
        <f>VLOOKUP(обед3,таб,44,FALSE)</f>
        <v>0</v>
      </c>
      <c r="R127" s="34"/>
      <c r="S127" s="33">
        <f>VLOOKUP(обед5,таб,44,FALSE)</f>
        <v>0</v>
      </c>
      <c r="T127" s="34">
        <f>VLOOKUP(обед6,таб,44,FALSE)</f>
        <v>0</v>
      </c>
      <c r="U127" s="33">
        <f>VLOOKUP(обед7,таб,44,FALSE)</f>
        <v>0</v>
      </c>
      <c r="V127" s="34">
        <f>VLOOKUP(обед8,таб,44,FALSE)</f>
        <v>0</v>
      </c>
      <c r="W127" s="34">
        <f>VLOOKUP(полдник1,таб,44,FALSE)</f>
        <v>0</v>
      </c>
      <c r="X127" s="34">
        <f>VLOOKUP(полдник2,таб,44,FALSE)</f>
        <v>0</v>
      </c>
      <c r="Y127" s="90">
        <f>VLOOKUP(полдник3,таб,44,FALSE)</f>
        <v>0</v>
      </c>
      <c r="Z127" s="35">
        <f>VLOOKUP(ужин1,таб,44,FALSE)</f>
        <v>0</v>
      </c>
      <c r="AA127" s="33">
        <f>VLOOKUP(ужин2,таб,44,FALSE)</f>
        <v>0</v>
      </c>
      <c r="AB127" s="34">
        <f>VLOOKUP(ужин3,таб,44,FALSE)</f>
        <v>0</v>
      </c>
      <c r="AC127" s="33">
        <f>VLOOKUP(ужин4,таб,44,FALSE)</f>
        <v>0</v>
      </c>
      <c r="AD127" s="34"/>
      <c r="AE127" s="33">
        <f>VLOOKUP(ужин6,таб,44,FALSE)</f>
        <v>0</v>
      </c>
      <c r="AF127" s="34">
        <f>VLOOKUP(ужин7,таб,44,FALSE)</f>
        <v>0</v>
      </c>
      <c r="AG127" s="90">
        <f>VLOOKUP(ужин8,таб,44,FALSE)</f>
        <v>0</v>
      </c>
      <c r="AH127" s="112">
        <v>615079</v>
      </c>
      <c r="AI127" s="122">
        <f>AK127/сред</f>
        <v>0.12117</v>
      </c>
      <c r="AJ127" s="123"/>
      <c r="AK127" s="114">
        <f>SUM(G128:AG128)</f>
        <v>2.4234</v>
      </c>
      <c r="AL127" s="114"/>
      <c r="AM127" s="175">
        <v>14</v>
      </c>
      <c r="AN127" s="115">
        <f>AK127*AM127</f>
        <v>33.9276</v>
      </c>
      <c r="AP127">
        <v>123</v>
      </c>
      <c r="AQ127" s="60" t="s">
        <v>147</v>
      </c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>
        <v>3.8</v>
      </c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>
        <v>29.8</v>
      </c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>
        <v>69.7</v>
      </c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>
        <v>75</v>
      </c>
      <c r="DF127" s="60"/>
      <c r="DG127" s="60"/>
      <c r="DH127" s="60">
        <v>0.8</v>
      </c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</row>
    <row r="128" spans="1:127" ht="30.75" customHeight="1">
      <c r="A128" s="128"/>
      <c r="B128" s="128"/>
      <c r="C128" s="128"/>
      <c r="D128" s="128"/>
      <c r="E128" s="129"/>
      <c r="F128" s="65" t="s">
        <v>94</v>
      </c>
      <c r="G128" s="75">
        <f aca="true" t="shared" si="152" ref="G128:M128">IF(G127=0,"",завтракл*G127/1000)</f>
        <v>0.5523</v>
      </c>
      <c r="H128" s="46">
        <f t="shared" si="152"/>
      </c>
      <c r="I128" s="45">
        <f t="shared" si="152"/>
      </c>
      <c r="J128" s="46">
        <f t="shared" si="152"/>
      </c>
      <c r="K128" s="45">
        <f t="shared" si="152"/>
      </c>
      <c r="L128" s="45"/>
      <c r="M128" s="45">
        <f t="shared" si="152"/>
      </c>
      <c r="N128" s="85"/>
      <c r="O128" s="47">
        <f aca="true" t="shared" si="153" ref="O128:V128">IF(O127=0,"",обідл*O127/1000)</f>
        <v>1.8711</v>
      </c>
      <c r="P128" s="45">
        <f t="shared" si="153"/>
      </c>
      <c r="Q128" s="46">
        <f t="shared" si="153"/>
      </c>
      <c r="R128" s="45"/>
      <c r="S128" s="46">
        <f t="shared" si="153"/>
      </c>
      <c r="T128" s="45">
        <f t="shared" si="153"/>
      </c>
      <c r="U128" s="46">
        <f t="shared" si="153"/>
      </c>
      <c r="V128" s="45">
        <f t="shared" si="153"/>
      </c>
      <c r="W128" s="45">
        <f>IF(W127=0,"",полдникл*W127/1000)</f>
      </c>
      <c r="X128" s="45">
        <f>IF(X127=0,"",полдникл*X127/1000)</f>
      </c>
      <c r="Y128" s="85">
        <f>IF(Y127=0,"",полдникл*Y127/1000)</f>
      </c>
      <c r="Z128" s="47">
        <f aca="true" t="shared" si="154" ref="Z128:AG128">IF(Z127=0,"",ужинл*Z127/1000)</f>
      </c>
      <c r="AA128" s="46">
        <f t="shared" si="154"/>
      </c>
      <c r="AB128" s="45">
        <f t="shared" si="154"/>
      </c>
      <c r="AC128" s="46">
        <f t="shared" si="154"/>
      </c>
      <c r="AD128" s="45"/>
      <c r="AE128" s="46">
        <f t="shared" si="154"/>
      </c>
      <c r="AF128" s="45">
        <f t="shared" si="154"/>
      </c>
      <c r="AG128" s="85">
        <f t="shared" si="154"/>
      </c>
      <c r="AH128" s="113"/>
      <c r="AI128" s="122"/>
      <c r="AJ128" s="123"/>
      <c r="AK128" s="114"/>
      <c r="AL128" s="114"/>
      <c r="AM128" s="176"/>
      <c r="AN128" s="116"/>
      <c r="AP128">
        <v>124</v>
      </c>
      <c r="AQ128" s="60" t="s">
        <v>178</v>
      </c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>
        <v>2.3</v>
      </c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>
        <v>98.3</v>
      </c>
      <c r="CK128" s="60"/>
      <c r="CL128" s="60"/>
      <c r="CM128" s="60"/>
      <c r="CN128" s="60"/>
      <c r="CO128" s="60"/>
      <c r="CP128" s="60">
        <v>0.4</v>
      </c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>
        <v>75</v>
      </c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</row>
    <row r="129" spans="1:127" ht="30.75" customHeight="1">
      <c r="A129" s="153" t="s">
        <v>36</v>
      </c>
      <c r="B129" s="153"/>
      <c r="C129" s="153"/>
      <c r="D129" s="153"/>
      <c r="E129" s="154"/>
      <c r="F129" s="68" t="s">
        <v>93</v>
      </c>
      <c r="G129" s="76">
        <f>VLOOKUP(завтрак1,таб,45,FALSE)</f>
        <v>0</v>
      </c>
      <c r="H129" s="36">
        <f>VLOOKUP(завтрак2,таб,45,FALSE)</f>
        <v>9.5</v>
      </c>
      <c r="I129" s="37">
        <f>VLOOKUP(завтрак3,таб,45,FALSE)</f>
        <v>0</v>
      </c>
      <c r="J129" s="36">
        <f>VLOOKUP(завтрак4,таб,45,FALSE)</f>
        <v>0</v>
      </c>
      <c r="K129" s="37">
        <f>VLOOKUP(завтрак5,таб,45,FALSE)</f>
        <v>0</v>
      </c>
      <c r="L129" s="37"/>
      <c r="M129" s="27">
        <f>VLOOKUP(завтрак7,таб,45,FALSE)</f>
        <v>0</v>
      </c>
      <c r="N129" s="84"/>
      <c r="O129" s="38">
        <f>VLOOKUP(обед1,таб,45,FALSE)</f>
        <v>0</v>
      </c>
      <c r="P129" s="37">
        <f>VLOOKUP(обед2,таб,45,FALSE)</f>
        <v>12</v>
      </c>
      <c r="Q129" s="36">
        <f>VLOOKUP(обед3,таб,45,FALSE)</f>
        <v>0</v>
      </c>
      <c r="R129" s="37"/>
      <c r="S129" s="36">
        <f>VLOOKUP(обед5,таб,45,FALSE)</f>
        <v>0</v>
      </c>
      <c r="T129" s="37">
        <f>VLOOKUP(обед6,таб,45,FALSE)</f>
        <v>0</v>
      </c>
      <c r="U129" s="36">
        <f>VLOOKUP(обед7,таб,45,FALSE)</f>
        <v>0</v>
      </c>
      <c r="V129" s="37">
        <f>VLOOKUP(обед8,таб,45,FALSE)</f>
        <v>0</v>
      </c>
      <c r="W129" s="37">
        <f>VLOOKUP(полдник1,таб,45,FALSE)</f>
        <v>0</v>
      </c>
      <c r="X129" s="37">
        <f>VLOOKUP(полдник2,таб,45,FALSE)</f>
        <v>0</v>
      </c>
      <c r="Y129" s="91">
        <f>VLOOKUP(полдник3,таб,45,FALSE)</f>
        <v>0</v>
      </c>
      <c r="Z129" s="38">
        <f>VLOOKUP(ужин1,таб,45,FALSE)</f>
        <v>0</v>
      </c>
      <c r="AA129" s="36">
        <f>VLOOKUP(ужин2,таб,45,FALSE)</f>
        <v>0</v>
      </c>
      <c r="AB129" s="37">
        <f>VLOOKUP(ужин3,таб,45,FALSE)</f>
        <v>0</v>
      </c>
      <c r="AC129" s="36"/>
      <c r="AD129" s="37"/>
      <c r="AE129" s="36">
        <f>VLOOKUP(ужин6,таб,45,FALSE)</f>
        <v>0</v>
      </c>
      <c r="AF129" s="37">
        <f>VLOOKUP(ужин7,таб,45,FALSE)</f>
        <v>0</v>
      </c>
      <c r="AG129" s="91">
        <f>VLOOKUP(ужин8,таб,45,FALSE)</f>
        <v>0</v>
      </c>
      <c r="AH129" s="112">
        <v>616062</v>
      </c>
      <c r="AI129" s="122">
        <f>AK129/сред</f>
        <v>0.022575</v>
      </c>
      <c r="AJ129" s="123"/>
      <c r="AK129" s="114">
        <f>SUM(G130:AG130)</f>
        <v>0.4515</v>
      </c>
      <c r="AL129" s="114"/>
      <c r="AM129" s="175">
        <v>11.67</v>
      </c>
      <c r="AN129" s="115">
        <f>AK129*AM129</f>
        <v>5.269005</v>
      </c>
      <c r="AP129">
        <v>125</v>
      </c>
      <c r="AQ129" s="60" t="s">
        <v>179</v>
      </c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>
        <v>2.3</v>
      </c>
      <c r="BD129" s="60"/>
      <c r="BE129" s="60"/>
      <c r="BF129" s="60"/>
      <c r="BG129" s="60"/>
      <c r="BH129" s="60"/>
      <c r="BI129" s="60">
        <v>7.5</v>
      </c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>
        <v>33.8</v>
      </c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>
        <v>99</v>
      </c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>
        <v>75</v>
      </c>
      <c r="DF129" s="60"/>
      <c r="DG129" s="60"/>
      <c r="DH129" s="60">
        <v>0.8</v>
      </c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</row>
    <row r="130" spans="1:127" ht="30.75" customHeight="1">
      <c r="A130" s="157"/>
      <c r="B130" s="157"/>
      <c r="C130" s="157"/>
      <c r="D130" s="157"/>
      <c r="E130" s="158"/>
      <c r="F130" s="65" t="s">
        <v>94</v>
      </c>
      <c r="G130" s="77">
        <f aca="true" t="shared" si="155" ref="G130:M130">IF(G129=0,"",завтракл*G129/1000)</f>
      </c>
      <c r="H130" s="48">
        <f t="shared" si="155"/>
        <v>0.1995</v>
      </c>
      <c r="I130" s="44">
        <f t="shared" si="155"/>
      </c>
      <c r="J130" s="48">
        <f t="shared" si="155"/>
      </c>
      <c r="K130" s="44">
        <f t="shared" si="155"/>
      </c>
      <c r="L130" s="44"/>
      <c r="M130" s="45">
        <f t="shared" si="155"/>
      </c>
      <c r="N130" s="85"/>
      <c r="O130" s="49">
        <f aca="true" t="shared" si="156" ref="O130:V130">IF(O129=0,"",обідл*O129/1000)</f>
      </c>
      <c r="P130" s="44">
        <f t="shared" si="156"/>
        <v>0.252</v>
      </c>
      <c r="Q130" s="48">
        <f t="shared" si="156"/>
      </c>
      <c r="R130" s="44"/>
      <c r="S130" s="48">
        <f t="shared" si="156"/>
      </c>
      <c r="T130" s="44">
        <f t="shared" si="156"/>
      </c>
      <c r="U130" s="48">
        <f t="shared" si="156"/>
      </c>
      <c r="V130" s="44">
        <f t="shared" si="156"/>
      </c>
      <c r="W130" s="44">
        <f>IF(W129=0,"",полдникл*W129/1000)</f>
      </c>
      <c r="X130" s="44">
        <f>IF(X129=0,"",полдникл*X129/1000)</f>
      </c>
      <c r="Y130" s="88">
        <f>IF(Y129=0,"",полдникл*Y129/1000)</f>
      </c>
      <c r="Z130" s="49">
        <f aca="true" t="shared" si="157" ref="Z130:AG130">IF(Z129=0,"",ужинл*Z129/1000)</f>
      </c>
      <c r="AA130" s="48">
        <f t="shared" si="157"/>
      </c>
      <c r="AB130" s="44">
        <f t="shared" si="157"/>
      </c>
      <c r="AC130" s="48">
        <f t="shared" si="157"/>
      </c>
      <c r="AD130" s="44"/>
      <c r="AE130" s="48">
        <f t="shared" si="157"/>
      </c>
      <c r="AF130" s="44">
        <f t="shared" si="157"/>
      </c>
      <c r="AG130" s="88">
        <f t="shared" si="157"/>
      </c>
      <c r="AH130" s="113"/>
      <c r="AI130" s="122"/>
      <c r="AJ130" s="123"/>
      <c r="AK130" s="114"/>
      <c r="AL130" s="114"/>
      <c r="AM130" s="176"/>
      <c r="AN130" s="116"/>
      <c r="AP130">
        <v>126</v>
      </c>
      <c r="AQ130" s="60" t="s">
        <v>180</v>
      </c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>
        <v>2.3</v>
      </c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>
        <v>57</v>
      </c>
      <c r="CI130" s="60"/>
      <c r="CJ130" s="60">
        <v>30</v>
      </c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>
        <v>75</v>
      </c>
      <c r="DF130" s="60"/>
      <c r="DG130" s="60"/>
      <c r="DH130" s="60">
        <v>0.8</v>
      </c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</row>
    <row r="131" spans="1:127" ht="30.75" customHeight="1">
      <c r="A131" s="128" t="s">
        <v>37</v>
      </c>
      <c r="B131" s="128"/>
      <c r="C131" s="128"/>
      <c r="D131" s="128"/>
      <c r="E131" s="129"/>
      <c r="F131" s="68" t="s">
        <v>93</v>
      </c>
      <c r="G131" s="74">
        <f>VLOOKUP(завтрак1,таб,46,FALSE)</f>
        <v>27.8</v>
      </c>
      <c r="H131" s="33">
        <f>VLOOKUP(завтрак2,таб,46,FALSE)</f>
        <v>17.5</v>
      </c>
      <c r="I131" s="34">
        <f>VLOOKUP(завтрак3,таб,46,FALSE)</f>
        <v>72</v>
      </c>
      <c r="J131" s="33">
        <f>VLOOKUP(завтрак4,таб,46,FALSE)</f>
        <v>0</v>
      </c>
      <c r="K131" s="34">
        <f>VLOOKUP(завтрак5,таб,46,FALSE)</f>
        <v>0</v>
      </c>
      <c r="L131" s="34"/>
      <c r="M131" s="27">
        <f>VLOOKUP(завтрак7,таб,46,FALSE)</f>
        <v>0</v>
      </c>
      <c r="N131" s="84"/>
      <c r="O131" s="35">
        <f>VLOOKUP(обед1,таб,46,FALSE)</f>
        <v>0</v>
      </c>
      <c r="P131" s="34">
        <f>VLOOKUP(обед2,таб,46,FALSE)</f>
        <v>0</v>
      </c>
      <c r="Q131" s="33">
        <f>VLOOKUP(обед3,таб,46,FALSE)</f>
        <v>0</v>
      </c>
      <c r="R131" s="34"/>
      <c r="S131" s="33">
        <f>VLOOKUP(обед5,таб,46,FALSE)</f>
        <v>0</v>
      </c>
      <c r="T131" s="34">
        <f>VLOOKUP(обед6,таб,46,FALSE)</f>
        <v>0</v>
      </c>
      <c r="U131" s="33">
        <f>VLOOKUP(обед7,таб,46,FALSE)</f>
        <v>0</v>
      </c>
      <c r="V131" s="34">
        <f>VLOOKUP(обед8,таб,46,FALSE)</f>
        <v>0</v>
      </c>
      <c r="W131" s="34">
        <f>VLOOKUP(полдник1,таб,46,FALSE)</f>
        <v>0</v>
      </c>
      <c r="X131" s="34">
        <f>VLOOKUP(полдник2,таб,46,FALSE)</f>
        <v>0</v>
      </c>
      <c r="Y131" s="90">
        <f>VLOOKUP(полдник3,таб,46,FALSE)</f>
        <v>0</v>
      </c>
      <c r="Z131" s="35">
        <f>VLOOKUP(ужин1,таб,46,FALSE)</f>
        <v>49</v>
      </c>
      <c r="AA131" s="33">
        <f>VLOOKUP(ужин2,таб,46,FALSE)</f>
        <v>0</v>
      </c>
      <c r="AB131" s="34">
        <f>VLOOKUP(ужин3,таб,46,FALSE)</f>
        <v>0</v>
      </c>
      <c r="AC131" s="33"/>
      <c r="AD131" s="34"/>
      <c r="AE131" s="33">
        <f>VLOOKUP(ужин6,таб,46,FALSE)</f>
        <v>0</v>
      </c>
      <c r="AF131" s="34">
        <f>VLOOKUP(ужин7,таб,46,FALSE)</f>
        <v>0</v>
      </c>
      <c r="AG131" s="90">
        <f>VLOOKUP(ужин8,таб,46,FALSE)</f>
        <v>0</v>
      </c>
      <c r="AH131" s="112">
        <v>615084</v>
      </c>
      <c r="AI131" s="122">
        <f>AK131/сред</f>
        <v>0.16726500000000002</v>
      </c>
      <c r="AJ131" s="123"/>
      <c r="AK131" s="114">
        <f>SUM(G132:AG132)</f>
        <v>3.3453000000000004</v>
      </c>
      <c r="AL131" s="114"/>
      <c r="AM131" s="175">
        <v>11.67</v>
      </c>
      <c r="AN131" s="115">
        <f>AK131*AM131</f>
        <v>39.039651000000006</v>
      </c>
      <c r="AP131">
        <v>127</v>
      </c>
      <c r="AQ131" s="60" t="s">
        <v>181</v>
      </c>
      <c r="AR131" s="60"/>
      <c r="AS131" s="60"/>
      <c r="AT131" s="60"/>
      <c r="AU131" s="60"/>
      <c r="AV131" s="60"/>
      <c r="AW131" s="60"/>
      <c r="AX131" s="60"/>
      <c r="AY131" s="60"/>
      <c r="AZ131" s="60"/>
      <c r="BA131" s="60">
        <v>1.7</v>
      </c>
      <c r="BB131" s="60"/>
      <c r="BC131" s="60">
        <v>2.8</v>
      </c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>
        <v>35.3</v>
      </c>
      <c r="CG131" s="60"/>
      <c r="CH131" s="60"/>
      <c r="CI131" s="60"/>
      <c r="CJ131" s="60">
        <v>56</v>
      </c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>
        <v>75</v>
      </c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</row>
    <row r="132" spans="1:130" ht="30.75" customHeight="1">
      <c r="A132" s="128"/>
      <c r="B132" s="128"/>
      <c r="C132" s="128"/>
      <c r="D132" s="128"/>
      <c r="E132" s="129"/>
      <c r="F132" s="65" t="s">
        <v>94</v>
      </c>
      <c r="G132" s="75">
        <f aca="true" t="shared" si="158" ref="G132:M132">IF(G131=0,"",завтракл*G131/1000)</f>
        <v>0.5838000000000001</v>
      </c>
      <c r="H132" s="46">
        <f t="shared" si="158"/>
        <v>0.3675</v>
      </c>
      <c r="I132" s="45">
        <f t="shared" si="158"/>
        <v>1.512</v>
      </c>
      <c r="J132" s="46">
        <f t="shared" si="158"/>
      </c>
      <c r="K132" s="45">
        <f t="shared" si="158"/>
      </c>
      <c r="L132" s="45"/>
      <c r="M132" s="45">
        <f t="shared" si="158"/>
      </c>
      <c r="N132" s="85"/>
      <c r="O132" s="47">
        <f aca="true" t="shared" si="159" ref="O132:V132">IF(O131=0,"",обідл*O131/1000)</f>
      </c>
      <c r="P132" s="45">
        <f t="shared" si="159"/>
      </c>
      <c r="Q132" s="46">
        <f t="shared" si="159"/>
      </c>
      <c r="R132" s="45"/>
      <c r="S132" s="46">
        <f t="shared" si="159"/>
      </c>
      <c r="T132" s="45">
        <f t="shared" si="159"/>
      </c>
      <c r="U132" s="46">
        <f t="shared" si="159"/>
      </c>
      <c r="V132" s="45">
        <f t="shared" si="159"/>
      </c>
      <c r="W132" s="45">
        <f>IF(W131=0,"",полдникл*W131/1000)</f>
      </c>
      <c r="X132" s="45">
        <f>IF(X131=0,"",полдникл*X131/1000)</f>
      </c>
      <c r="Y132" s="85">
        <f>IF(Y131=0,"",полдникл*Y131/1000)</f>
      </c>
      <c r="Z132" s="47">
        <f aca="true" t="shared" si="160" ref="Z132:AG132">IF(Z131=0,"",ужинл*Z131/1000)</f>
        <v>0.882</v>
      </c>
      <c r="AA132" s="46">
        <f t="shared" si="160"/>
      </c>
      <c r="AB132" s="45">
        <f t="shared" si="160"/>
      </c>
      <c r="AC132" s="46">
        <f t="shared" si="160"/>
      </c>
      <c r="AD132" s="45"/>
      <c r="AE132" s="46">
        <f t="shared" si="160"/>
      </c>
      <c r="AF132" s="45">
        <f t="shared" si="160"/>
      </c>
      <c r="AG132" s="85">
        <f t="shared" si="160"/>
      </c>
      <c r="AH132" s="113"/>
      <c r="AI132" s="122"/>
      <c r="AJ132" s="123"/>
      <c r="AK132" s="114"/>
      <c r="AL132" s="114"/>
      <c r="AM132" s="176"/>
      <c r="AN132" s="116"/>
      <c r="AP132">
        <v>128</v>
      </c>
      <c r="AQ132" s="60" t="s">
        <v>182</v>
      </c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>
        <v>2.3</v>
      </c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>
        <v>26.3</v>
      </c>
      <c r="CI132" s="60"/>
      <c r="CJ132" s="60">
        <v>27.8</v>
      </c>
      <c r="CK132" s="60"/>
      <c r="CL132" s="60">
        <v>34.5</v>
      </c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>
        <v>75</v>
      </c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Z132">
        <v>2.3</v>
      </c>
    </row>
    <row r="133" spans="1:133" ht="30.75" customHeight="1">
      <c r="A133" s="153" t="s">
        <v>123</v>
      </c>
      <c r="B133" s="153"/>
      <c r="C133" s="153"/>
      <c r="D133" s="153"/>
      <c r="E133" s="154"/>
      <c r="F133" s="68" t="s">
        <v>93</v>
      </c>
      <c r="G133" s="76">
        <f>VLOOKUP(завтрак1,таб,47,FALSE)</f>
        <v>0</v>
      </c>
      <c r="H133" s="36">
        <f>VLOOKUP(завтрак2,таб,47,FALSE)</f>
        <v>0</v>
      </c>
      <c r="I133" s="37">
        <f>VLOOKUP(завтрак3,таб,47,FALSE)</f>
        <v>0</v>
      </c>
      <c r="J133" s="36">
        <f>VLOOKUP(завтрак4,таб,47,FALSE)</f>
        <v>0</v>
      </c>
      <c r="K133" s="37">
        <f>VLOOKUP(завтрак5,таб,47,FALSE)</f>
        <v>0</v>
      </c>
      <c r="L133" s="37"/>
      <c r="M133" s="27">
        <f>VLOOKUP(завтрак7,таб,47,FALSE)</f>
        <v>0</v>
      </c>
      <c r="N133" s="84"/>
      <c r="O133" s="38">
        <f>VLOOKUP(обед1,таб,47,FALSE)</f>
        <v>0</v>
      </c>
      <c r="P133" s="37">
        <f>VLOOKUP(обед2,таб,47,FALSE)</f>
        <v>0</v>
      </c>
      <c r="Q133" s="36">
        <v>28.5</v>
      </c>
      <c r="R133" s="37"/>
      <c r="S133" s="36">
        <f>VLOOKUP(обед5,таб,47,FALSE)</f>
        <v>0</v>
      </c>
      <c r="T133" s="37">
        <f>VLOOKUP(обед6,таб,47,FALSE)</f>
        <v>0</v>
      </c>
      <c r="U133" s="36">
        <f>VLOOKUP(обед7,таб,47,FALSE)</f>
        <v>0</v>
      </c>
      <c r="V133" s="37">
        <f>VLOOKUP(обед8,таб,47,FALSE)</f>
        <v>0</v>
      </c>
      <c r="W133" s="37">
        <f>VLOOKUP(полдник1,таб,47,FALSE)</f>
        <v>0</v>
      </c>
      <c r="X133" s="37">
        <f>VLOOKUP(полдник2,таб,47,FALSE)</f>
        <v>0</v>
      </c>
      <c r="Y133" s="91">
        <f>VLOOKUP(полдник3,таб,47,FALSE)</f>
        <v>0</v>
      </c>
      <c r="Z133" s="38">
        <f>VLOOKUP(ужин1,таб,47,FALSE)</f>
        <v>0</v>
      </c>
      <c r="AA133" s="36">
        <f>VLOOKUP(ужин2,таб,47,FALSE)</f>
        <v>0</v>
      </c>
      <c r="AB133" s="37">
        <f>VLOOKUP(ужин3,таб,47,FALSE)</f>
        <v>0</v>
      </c>
      <c r="AC133" s="36">
        <f>VLOOKUP(ужин4,таб,47,FALSE)</f>
        <v>0</v>
      </c>
      <c r="AD133" s="37"/>
      <c r="AE133" s="36">
        <f>VLOOKUP(ужин6,таб,47,FALSE)</f>
        <v>0</v>
      </c>
      <c r="AF133" s="37">
        <f>VLOOKUP(ужин7,таб,47,FALSE)</f>
        <v>0</v>
      </c>
      <c r="AG133" s="91">
        <f>VLOOKUP(ужин8,таб,47,FALSE)</f>
        <v>0</v>
      </c>
      <c r="AH133" s="112">
        <v>615088</v>
      </c>
      <c r="AI133" s="122">
        <f>AK133/сред</f>
        <v>0.029925</v>
      </c>
      <c r="AJ133" s="123"/>
      <c r="AK133" s="114">
        <f>SUM(G134:AG134)</f>
        <v>0.5985</v>
      </c>
      <c r="AL133" s="114"/>
      <c r="AM133" s="175">
        <v>60</v>
      </c>
      <c r="AN133" s="115">
        <f>AK133*AM133</f>
        <v>35.910000000000004</v>
      </c>
      <c r="AP133">
        <v>129</v>
      </c>
      <c r="AQ133" s="60" t="s">
        <v>183</v>
      </c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>
        <v>5</v>
      </c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>
        <v>66.8</v>
      </c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>
        <v>100</v>
      </c>
      <c r="DF133" s="60"/>
      <c r="DG133" s="60"/>
      <c r="DH133" s="60"/>
      <c r="DI133" s="60"/>
      <c r="DJ133" s="60"/>
      <c r="DK133" s="60"/>
      <c r="DL133" s="60"/>
      <c r="DM133" s="60"/>
      <c r="DN133" s="60">
        <v>24</v>
      </c>
      <c r="DO133" s="60">
        <v>27.5</v>
      </c>
      <c r="DP133" s="60"/>
      <c r="DQ133" s="60"/>
      <c r="DR133" s="60"/>
      <c r="DS133" s="60"/>
      <c r="DT133" s="60"/>
      <c r="DU133" s="60"/>
      <c r="DV133" s="60"/>
      <c r="DW133" s="60"/>
      <c r="EC133">
        <v>5</v>
      </c>
    </row>
    <row r="134" spans="1:134" ht="30.75" customHeight="1">
      <c r="A134" s="157"/>
      <c r="B134" s="157"/>
      <c r="C134" s="157"/>
      <c r="D134" s="157"/>
      <c r="E134" s="158"/>
      <c r="F134" s="65" t="s">
        <v>94</v>
      </c>
      <c r="G134" s="77">
        <f aca="true" t="shared" si="161" ref="G134:M134">IF(G133=0,"",завтракл*G133/1000)</f>
      </c>
      <c r="H134" s="48">
        <f t="shared" si="161"/>
      </c>
      <c r="I134" s="44">
        <f t="shared" si="161"/>
      </c>
      <c r="J134" s="48">
        <f t="shared" si="161"/>
      </c>
      <c r="K134" s="44">
        <f t="shared" si="161"/>
      </c>
      <c r="L134" s="44"/>
      <c r="M134" s="45">
        <f t="shared" si="161"/>
      </c>
      <c r="N134" s="85"/>
      <c r="O134" s="49">
        <f aca="true" t="shared" si="162" ref="O134:V134">IF(O133=0,"",обідл*O133/1000)</f>
      </c>
      <c r="P134" s="44">
        <f t="shared" si="162"/>
      </c>
      <c r="Q134" s="48">
        <f t="shared" si="162"/>
        <v>0.5985</v>
      </c>
      <c r="R134" s="44"/>
      <c r="S134" s="48">
        <f t="shared" si="162"/>
      </c>
      <c r="T134" s="44">
        <f t="shared" si="162"/>
      </c>
      <c r="U134" s="48">
        <f t="shared" si="162"/>
      </c>
      <c r="V134" s="44">
        <f t="shared" si="162"/>
      </c>
      <c r="W134" s="44">
        <f>IF(W133=0,"",полдникл*W133/1000)</f>
      </c>
      <c r="X134" s="44">
        <f>IF(X133=0,"",полдникл*X133/1000)</f>
      </c>
      <c r="Y134" s="88">
        <f>IF(Y133=0,"",полдникл*Y133/1000)</f>
      </c>
      <c r="Z134" s="49">
        <f aca="true" t="shared" si="163" ref="Z134:AG134">IF(Z133=0,"",ужинл*Z133/1000)</f>
      </c>
      <c r="AA134" s="48">
        <f t="shared" si="163"/>
      </c>
      <c r="AB134" s="44">
        <f t="shared" si="163"/>
      </c>
      <c r="AC134" s="48">
        <f t="shared" si="163"/>
      </c>
      <c r="AD134" s="44"/>
      <c r="AE134" s="48">
        <f t="shared" si="163"/>
      </c>
      <c r="AF134" s="44">
        <f t="shared" si="163"/>
      </c>
      <c r="AG134" s="88">
        <f t="shared" si="163"/>
      </c>
      <c r="AH134" s="113"/>
      <c r="AI134" s="122"/>
      <c r="AJ134" s="123"/>
      <c r="AK134" s="114"/>
      <c r="AL134" s="114"/>
      <c r="AM134" s="176"/>
      <c r="AN134" s="116"/>
      <c r="AP134">
        <v>130</v>
      </c>
      <c r="AQ134" s="60" t="s">
        <v>185</v>
      </c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>
        <v>7.5</v>
      </c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>
        <v>1.5</v>
      </c>
      <c r="BX134" s="60"/>
      <c r="BY134" s="60"/>
      <c r="BZ134" s="60"/>
      <c r="CA134" s="60"/>
      <c r="CB134" s="60"/>
      <c r="CC134" s="60">
        <v>5</v>
      </c>
      <c r="CD134" s="60"/>
      <c r="CE134" s="60"/>
      <c r="CF134" s="60"/>
      <c r="CG134" s="60"/>
      <c r="CH134" s="60"/>
      <c r="CI134" s="60"/>
      <c r="CJ134" s="60">
        <v>49</v>
      </c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>
        <v>50</v>
      </c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ED134">
        <v>1.5</v>
      </c>
    </row>
    <row r="135" spans="1:135" ht="30.75" customHeight="1">
      <c r="A135" s="158" t="s">
        <v>460</v>
      </c>
      <c r="B135" s="231"/>
      <c r="C135" s="231"/>
      <c r="D135" s="231"/>
      <c r="E135" s="231"/>
      <c r="F135" s="68" t="s">
        <v>93</v>
      </c>
      <c r="G135" s="74">
        <f>VLOOKUP(завтрак1,таб,48,FALSE)</f>
        <v>34.5</v>
      </c>
      <c r="H135" s="33">
        <f>VLOOKUP(завтрак2,таб,48,FALSE)</f>
        <v>0</v>
      </c>
      <c r="I135" s="34">
        <f>VLOOKUP(завтрак3,таб,48,FALSE)</f>
        <v>0</v>
      </c>
      <c r="J135" s="33">
        <f>VLOOKUP(завтрак4,таб,48,FALSE)</f>
        <v>0</v>
      </c>
      <c r="K135" s="34">
        <f>VLOOKUP(завтрак5,таб,48,FALSE)</f>
        <v>0</v>
      </c>
      <c r="L135" s="34"/>
      <c r="M135" s="27">
        <f>VLOOKUP(завтрак7,таб,48,FALSE)</f>
        <v>0</v>
      </c>
      <c r="N135" s="84"/>
      <c r="O135" s="35">
        <f>VLOOKUP(обед1,таб,48,FALSE)</f>
        <v>0</v>
      </c>
      <c r="P135" s="34">
        <f>VLOOKUP(обед2,таб,48,FALSE)</f>
        <v>0</v>
      </c>
      <c r="Q135" s="33">
        <f>VLOOKUP(обед3,таб,48,FALSE)</f>
        <v>0</v>
      </c>
      <c r="R135" s="34"/>
      <c r="S135" s="33">
        <f>VLOOKUP(обед5,таб,48,FALSE)</f>
        <v>0</v>
      </c>
      <c r="T135" s="34">
        <f>VLOOKUP(обед6,таб,48,FALSE)</f>
        <v>0</v>
      </c>
      <c r="U135" s="33">
        <f>VLOOKUP(обед7,таб,48,FALSE)</f>
        <v>0</v>
      </c>
      <c r="V135" s="34">
        <f>VLOOKUP(обед8,таб,48,FALSE)</f>
        <v>0</v>
      </c>
      <c r="W135" s="34">
        <f>VLOOKUP(полдник1,таб,48,FALSE)</f>
        <v>0</v>
      </c>
      <c r="X135" s="34">
        <f>VLOOKUP(полдник2,таб,48,FALSE)</f>
        <v>0</v>
      </c>
      <c r="Y135" s="90">
        <f>VLOOKUP(полдник3,таб,48,FALSE)</f>
        <v>0</v>
      </c>
      <c r="Z135" s="35">
        <f>VLOOKUP(ужин1,таб,48,FALSE)</f>
        <v>0</v>
      </c>
      <c r="AA135" s="33">
        <f>VLOOKUP(ужин2,таб,48,FALSE)</f>
        <v>0</v>
      </c>
      <c r="AB135" s="34">
        <f>VLOOKUP(ужин3,таб,48,FALSE)</f>
        <v>0</v>
      </c>
      <c r="AC135" s="33">
        <f>VLOOKUP(ужин4,таб,48,FALSE)</f>
        <v>0</v>
      </c>
      <c r="AD135" s="34"/>
      <c r="AE135" s="33">
        <f>VLOOKUP(ужин6,таб,48,FALSE)</f>
        <v>0</v>
      </c>
      <c r="AF135" s="34">
        <f>VLOOKUP(ужин7,таб,48,FALSE)</f>
        <v>0</v>
      </c>
      <c r="AG135" s="90">
        <f>VLOOKUP(ужин8,таб,48,FALSE)</f>
        <v>0</v>
      </c>
      <c r="AH135" s="112"/>
      <c r="AI135" s="122">
        <f>AK135/сред</f>
        <v>0.036225</v>
      </c>
      <c r="AJ135" s="123"/>
      <c r="AK135" s="114">
        <f>SUM(G136:AG136)</f>
        <v>0.7245</v>
      </c>
      <c r="AL135" s="114"/>
      <c r="AM135" s="175">
        <v>60</v>
      </c>
      <c r="AN135" s="115">
        <f>AK135*AM135</f>
        <v>43.47</v>
      </c>
      <c r="AP135">
        <v>131</v>
      </c>
      <c r="AQ135" s="60" t="s">
        <v>187</v>
      </c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>
        <v>3</v>
      </c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>
        <v>87</v>
      </c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>
        <v>100</v>
      </c>
      <c r="DF135" s="60"/>
      <c r="DG135" s="60"/>
      <c r="DH135" s="60">
        <v>1</v>
      </c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EE135">
        <v>57</v>
      </c>
    </row>
    <row r="136" spans="1:127" ht="30.75" customHeight="1">
      <c r="A136" s="232"/>
      <c r="B136" s="233"/>
      <c r="C136" s="233"/>
      <c r="D136" s="233"/>
      <c r="E136" s="233"/>
      <c r="F136" s="65" t="s">
        <v>94</v>
      </c>
      <c r="G136" s="75">
        <f aca="true" t="shared" si="164" ref="G136:M136">IF(G135=0,"",завтракл*G135/1000)</f>
        <v>0.7245</v>
      </c>
      <c r="H136" s="46">
        <f t="shared" si="164"/>
      </c>
      <c r="I136" s="45">
        <f t="shared" si="164"/>
      </c>
      <c r="J136" s="46">
        <f t="shared" si="164"/>
      </c>
      <c r="K136" s="45">
        <f t="shared" si="164"/>
      </c>
      <c r="L136" s="45"/>
      <c r="M136" s="45">
        <f t="shared" si="164"/>
      </c>
      <c r="N136" s="85"/>
      <c r="O136" s="47">
        <f aca="true" t="shared" si="165" ref="O136:V136">IF(O135=0,"",обідл*O135/1000)</f>
      </c>
      <c r="P136" s="45">
        <f t="shared" si="165"/>
      </c>
      <c r="Q136" s="46">
        <f t="shared" si="165"/>
      </c>
      <c r="R136" s="45"/>
      <c r="S136" s="46">
        <f t="shared" si="165"/>
      </c>
      <c r="T136" s="45">
        <f t="shared" si="165"/>
      </c>
      <c r="U136" s="46">
        <f t="shared" si="165"/>
      </c>
      <c r="V136" s="45">
        <f t="shared" si="165"/>
      </c>
      <c r="W136" s="45">
        <f>IF(W135=0,"",полдникл*W135/1000)</f>
      </c>
      <c r="X136" s="45">
        <f>IF(X135=0,"",полдникл*X135/1000)</f>
      </c>
      <c r="Y136" s="85">
        <f>IF(Y135=0,"",полдникл*Y135/1000)</f>
      </c>
      <c r="Z136" s="47">
        <f aca="true" t="shared" si="166" ref="Z136:AG136">IF(Z135=0,"",ужинл*Z135/1000)</f>
      </c>
      <c r="AA136" s="46">
        <f t="shared" si="166"/>
      </c>
      <c r="AB136" s="45">
        <f t="shared" si="166"/>
      </c>
      <c r="AC136" s="46">
        <f t="shared" si="166"/>
      </c>
      <c r="AD136" s="45"/>
      <c r="AE136" s="46">
        <f t="shared" si="166"/>
      </c>
      <c r="AF136" s="45">
        <f t="shared" si="166"/>
      </c>
      <c r="AG136" s="85">
        <f t="shared" si="166"/>
      </c>
      <c r="AH136" s="113"/>
      <c r="AI136" s="122"/>
      <c r="AJ136" s="123"/>
      <c r="AK136" s="114"/>
      <c r="AL136" s="114"/>
      <c r="AM136" s="176"/>
      <c r="AN136" s="116"/>
      <c r="AP136">
        <v>132</v>
      </c>
      <c r="AQ136" s="61" t="s">
        <v>189</v>
      </c>
      <c r="AR136" s="60"/>
      <c r="AS136" s="60"/>
      <c r="AT136" s="60"/>
      <c r="AU136" s="60"/>
      <c r="AV136" s="60"/>
      <c r="AW136" s="60"/>
      <c r="AX136" s="60"/>
      <c r="AY136" s="60"/>
      <c r="AZ136" s="60"/>
      <c r="BA136" s="60">
        <v>1.7</v>
      </c>
      <c r="BB136" s="60"/>
      <c r="BC136" s="60">
        <v>3.8</v>
      </c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>
        <v>22.3</v>
      </c>
      <c r="CH136" s="60"/>
      <c r="CI136" s="60">
        <v>4.2</v>
      </c>
      <c r="CJ136" s="60">
        <v>13.5</v>
      </c>
      <c r="CK136" s="60">
        <v>5</v>
      </c>
      <c r="CM136" s="60"/>
      <c r="CN136" s="60"/>
      <c r="CO136" s="60">
        <v>15.5</v>
      </c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>
        <v>50</v>
      </c>
      <c r="DF136" s="60"/>
      <c r="DG136" s="60">
        <v>5.5</v>
      </c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</row>
    <row r="137" spans="1:136" ht="30.75" customHeight="1">
      <c r="A137" s="153" t="s">
        <v>38</v>
      </c>
      <c r="B137" s="153"/>
      <c r="C137" s="153"/>
      <c r="D137" s="153"/>
      <c r="E137" s="154"/>
      <c r="F137" s="68" t="s">
        <v>93</v>
      </c>
      <c r="G137" s="76">
        <f>VLOOKUP(завтрак1,таб,51,FALSE)</f>
        <v>0</v>
      </c>
      <c r="H137" s="36">
        <f>VLOOKUP(завтрак2,таб,51,FALSE)</f>
        <v>0</v>
      </c>
      <c r="I137" s="37">
        <f>VLOOKUP(завтрак3,таб,51,FALSE)</f>
        <v>0</v>
      </c>
      <c r="J137" s="36">
        <f>VLOOKUP(завтрак4,таб,51,FALSE)</f>
        <v>0</v>
      </c>
      <c r="K137" s="37">
        <f>VLOOKUP(завтрак5,таб,51,FALSE)</f>
        <v>0</v>
      </c>
      <c r="L137" s="37"/>
      <c r="M137" s="27">
        <f>VLOOKUP(завтрак7,таб,49,FALSE)</f>
        <v>0</v>
      </c>
      <c r="N137" s="84"/>
      <c r="O137" s="38">
        <f>VLOOKUP(обед1,таб,51,FALSE)</f>
        <v>0</v>
      </c>
      <c r="P137" s="37">
        <f>VLOOKUP(обед2,таб,51,FALSE)</f>
        <v>0</v>
      </c>
      <c r="Q137" s="36">
        <f>VLOOKUP(обед3,таб,51,FALSE)</f>
        <v>0</v>
      </c>
      <c r="R137" s="37"/>
      <c r="S137" s="36">
        <f>VLOOKUP(обед5,таб,51,FALSE)</f>
        <v>0</v>
      </c>
      <c r="T137" s="37">
        <f>VLOOKUP(обед6,таб,51,FALSE)</f>
        <v>0</v>
      </c>
      <c r="U137" s="36">
        <f>VLOOKUP(обед7,таб,51,FALSE)</f>
        <v>0</v>
      </c>
      <c r="V137" s="37">
        <f>VLOOKUP(обед8,таб,51,FALSE)</f>
        <v>0</v>
      </c>
      <c r="W137" s="37">
        <f>VLOOKUP(полдник1,таб,51,FALSE)</f>
        <v>0</v>
      </c>
      <c r="X137" s="37">
        <f>VLOOKUP(полдник2,таб,51,FALSE)</f>
        <v>0</v>
      </c>
      <c r="Y137" s="91">
        <f>VLOOKUP(полдник3,таб,51,FALSE)</f>
        <v>0</v>
      </c>
      <c r="Z137" s="38">
        <f>VLOOKUP(ужин1,таб,51,FALSE)</f>
        <v>0</v>
      </c>
      <c r="AA137" s="36">
        <f>VLOOKUP(ужин2,таб,51,FALSE)</f>
        <v>0</v>
      </c>
      <c r="AB137" s="37">
        <f>VLOOKUP(ужин3,таб,51,FALSE)</f>
        <v>0</v>
      </c>
      <c r="AC137" s="36">
        <f>VLOOKUP(ужин4,таб,51,FALSE)</f>
        <v>0</v>
      </c>
      <c r="AD137" s="37"/>
      <c r="AE137" s="36">
        <f>VLOOKUP(ужин6,таб,51,FALSE)</f>
        <v>0</v>
      </c>
      <c r="AF137" s="37">
        <f>VLOOKUP(ужин7,таб,51,FALSE)</f>
        <v>0</v>
      </c>
      <c r="AG137" s="91">
        <f>VLOOKUP(ужин8,таб,51,FALSE)</f>
        <v>0</v>
      </c>
      <c r="AH137" s="112">
        <v>615094</v>
      </c>
      <c r="AI137" s="122">
        <f>AK137/сред</f>
        <v>0</v>
      </c>
      <c r="AJ137" s="123"/>
      <c r="AK137" s="114">
        <f>SUM(G138:AG138)</f>
        <v>0</v>
      </c>
      <c r="AL137" s="114"/>
      <c r="AM137" s="175">
        <f>IF(AK137=0,0,CO117)</f>
        <v>0</v>
      </c>
      <c r="AN137" s="115">
        <f>AK137*AM137</f>
        <v>0</v>
      </c>
      <c r="AP137">
        <v>133</v>
      </c>
      <c r="AQ137" s="60" t="s">
        <v>190</v>
      </c>
      <c r="AR137" s="60"/>
      <c r="AS137" s="60"/>
      <c r="AT137" s="60"/>
      <c r="AU137" s="60"/>
      <c r="AV137" s="60"/>
      <c r="AW137" s="60"/>
      <c r="AX137" s="60"/>
      <c r="AY137" s="60"/>
      <c r="AZ137" s="60"/>
      <c r="BA137" s="60">
        <v>1.7</v>
      </c>
      <c r="BB137" s="60"/>
      <c r="BC137" s="60">
        <v>3.8</v>
      </c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>
        <v>64.8</v>
      </c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>
        <v>50</v>
      </c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EF137">
        <v>0.3</v>
      </c>
    </row>
    <row r="138" spans="1:137" ht="30.75" customHeight="1">
      <c r="A138" s="157"/>
      <c r="B138" s="157"/>
      <c r="C138" s="157"/>
      <c r="D138" s="157"/>
      <c r="E138" s="158"/>
      <c r="F138" s="65" t="s">
        <v>94</v>
      </c>
      <c r="G138" s="77">
        <f aca="true" t="shared" si="167" ref="G138:M138">IF(G137=0,"",завтракл*G137/1000)</f>
      </c>
      <c r="H138" s="48">
        <f t="shared" si="167"/>
      </c>
      <c r="I138" s="44">
        <f t="shared" si="167"/>
      </c>
      <c r="J138" s="48">
        <f t="shared" si="167"/>
      </c>
      <c r="K138" s="44">
        <f t="shared" si="167"/>
      </c>
      <c r="L138" s="44"/>
      <c r="M138" s="45">
        <f t="shared" si="167"/>
      </c>
      <c r="N138" s="85"/>
      <c r="O138" s="49">
        <f aca="true" t="shared" si="168" ref="O138:V138">IF(O137=0,"",обідл*O137/1000)</f>
      </c>
      <c r="P138" s="44">
        <f t="shared" si="168"/>
      </c>
      <c r="Q138" s="48">
        <f t="shared" si="168"/>
      </c>
      <c r="R138" s="44"/>
      <c r="S138" s="48">
        <f t="shared" si="168"/>
      </c>
      <c r="T138" s="44">
        <f t="shared" si="168"/>
      </c>
      <c r="U138" s="48">
        <f t="shared" si="168"/>
      </c>
      <c r="V138" s="44">
        <f t="shared" si="168"/>
      </c>
      <c r="W138" s="44">
        <f>IF(W137=0,"",полдникл*W137/1000)</f>
      </c>
      <c r="X138" s="44">
        <f>IF(X137=0,"",полдникл*X137/1000)</f>
      </c>
      <c r="Y138" s="88">
        <f>IF(Y137=0,"",полдникл*Y137/1000)</f>
      </c>
      <c r="Z138" s="49">
        <f aca="true" t="shared" si="169" ref="Z138:AG138">IF(Z137=0,"",ужинл*Z137/1000)</f>
      </c>
      <c r="AA138" s="48">
        <f t="shared" si="169"/>
      </c>
      <c r="AB138" s="44">
        <f t="shared" si="169"/>
      </c>
      <c r="AC138" s="48">
        <f t="shared" si="169"/>
      </c>
      <c r="AD138" s="44"/>
      <c r="AE138" s="48">
        <f t="shared" si="169"/>
      </c>
      <c r="AF138" s="44">
        <f t="shared" si="169"/>
      </c>
      <c r="AG138" s="88">
        <f t="shared" si="169"/>
      </c>
      <c r="AH138" s="113"/>
      <c r="AI138" s="122"/>
      <c r="AJ138" s="123"/>
      <c r="AK138" s="114"/>
      <c r="AL138" s="114"/>
      <c r="AM138" s="176"/>
      <c r="AN138" s="116"/>
      <c r="AP138">
        <v>134</v>
      </c>
      <c r="AQ138" s="60" t="s">
        <v>192</v>
      </c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>
        <v>1.8</v>
      </c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>
        <v>5</v>
      </c>
      <c r="CD138" s="60"/>
      <c r="CE138" s="60"/>
      <c r="CF138" s="60"/>
      <c r="CG138" s="60"/>
      <c r="CH138" s="60">
        <v>69</v>
      </c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>
        <v>50</v>
      </c>
      <c r="DF138" s="60"/>
      <c r="DG138" s="60"/>
      <c r="DH138" s="60">
        <v>0.5</v>
      </c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EG138">
        <v>0.1</v>
      </c>
    </row>
    <row r="139" spans="1:127" ht="30.75" customHeight="1">
      <c r="A139" s="159" t="s">
        <v>116</v>
      </c>
      <c r="B139" s="159"/>
      <c r="C139" s="159"/>
      <c r="D139" s="159"/>
      <c r="E139" s="160"/>
      <c r="F139" s="68" t="s">
        <v>93</v>
      </c>
      <c r="G139" s="74">
        <f>VLOOKUP(завтрак1,таб,50,FALSE)</f>
        <v>0</v>
      </c>
      <c r="H139" s="33">
        <f>VLOOKUP(завтрак2,таб,50,FALSE)</f>
        <v>0</v>
      </c>
      <c r="I139" s="34">
        <f>VLOOKUP(завтрак3,таб,50,FALSE)</f>
        <v>0</v>
      </c>
      <c r="J139" s="33">
        <f>VLOOKUP(завтрак4,таб,50,FALSE)</f>
        <v>0</v>
      </c>
      <c r="K139" s="34">
        <f>VLOOKUP(завтрак5,таб,50,FALSE)</f>
        <v>0</v>
      </c>
      <c r="L139" s="34"/>
      <c r="M139" s="27">
        <f>VLOOKUP(завтрак7,таб,50,FALSE)</f>
        <v>0</v>
      </c>
      <c r="N139" s="84"/>
      <c r="O139" s="35">
        <f>VLOOKUP(обед1,таб,50,FALSE)</f>
        <v>0</v>
      </c>
      <c r="P139" s="34">
        <f>VLOOKUP(обед2,таб,50,FALSE)</f>
        <v>0</v>
      </c>
      <c r="Q139" s="33">
        <f>VLOOKUP(обед3,таб,50,FALSE)</f>
        <v>0</v>
      </c>
      <c r="R139" s="34"/>
      <c r="S139" s="33">
        <f>VLOOKUP(обед5,таб,50,FALSE)</f>
        <v>0</v>
      </c>
      <c r="T139" s="34">
        <f>VLOOKUP(обед6,таб,50,FALSE)</f>
        <v>0</v>
      </c>
      <c r="U139" s="33">
        <f>VLOOKUP(обед7,таб,50,FALSE)</f>
        <v>0</v>
      </c>
      <c r="V139" s="34">
        <f>VLOOKUP(обед8,таб,50,FALSE)</f>
        <v>0</v>
      </c>
      <c r="W139" s="34">
        <f>VLOOKUP(полдник1,таб,50,FALSE)</f>
        <v>0</v>
      </c>
      <c r="X139" s="34">
        <f>VLOOKUP(полдник2,таб,50,FALSE)</f>
        <v>0</v>
      </c>
      <c r="Y139" s="90">
        <f>VLOOKUP(полдник3,таб,50,FALSE)</f>
        <v>0</v>
      </c>
      <c r="Z139" s="35">
        <f>VLOOKUP(ужин1,таб,50,FALSE)</f>
        <v>0</v>
      </c>
      <c r="AA139" s="33">
        <f>VLOOKUP(ужин2,таб,50,FALSE)</f>
        <v>0</v>
      </c>
      <c r="AB139" s="34">
        <f>VLOOKUP(ужин3,таб,50,FALSE)</f>
        <v>0</v>
      </c>
      <c r="AC139" s="33">
        <f>VLOOKUP(ужин4,таб,50,FALSE)</f>
        <v>0</v>
      </c>
      <c r="AD139" s="34"/>
      <c r="AE139" s="33">
        <f>VLOOKUP(ужин6,таб,50,FALSE)</f>
        <v>0</v>
      </c>
      <c r="AF139" s="34">
        <f>VLOOKUP(ужин7,таб,50,FALSE)</f>
        <v>0</v>
      </c>
      <c r="AG139" s="90">
        <f>VLOOKUP(ужин8,таб,50,FALSE)</f>
        <v>0</v>
      </c>
      <c r="AH139" s="112"/>
      <c r="AI139" s="122">
        <f>AK139/сред</f>
        <v>0</v>
      </c>
      <c r="AJ139" s="123"/>
      <c r="AK139" s="114">
        <f>SUM(G140:AG140)</f>
        <v>0</v>
      </c>
      <c r="AL139" s="114"/>
      <c r="AM139" s="175">
        <f>IF(AK139=0,0,CN117)</f>
        <v>0</v>
      </c>
      <c r="AN139" s="115">
        <f>AK139*AM139</f>
        <v>0</v>
      </c>
      <c r="AP139">
        <v>135</v>
      </c>
      <c r="AQ139" s="60" t="s">
        <v>194</v>
      </c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>
        <v>6</v>
      </c>
      <c r="BH139" s="60"/>
      <c r="BI139" s="60">
        <v>6</v>
      </c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>
        <v>51.5</v>
      </c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>
        <v>50</v>
      </c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</row>
    <row r="140" spans="1:112" ht="30.75" customHeight="1">
      <c r="A140" s="159"/>
      <c r="B140" s="159"/>
      <c r="C140" s="159"/>
      <c r="D140" s="159"/>
      <c r="E140" s="160"/>
      <c r="F140" s="65" t="s">
        <v>94</v>
      </c>
      <c r="G140" s="75">
        <f aca="true" t="shared" si="170" ref="G140:M140">IF(G139=0,"",завтракл*G139/1000)</f>
      </c>
      <c r="H140" s="46">
        <f t="shared" si="170"/>
      </c>
      <c r="I140" s="45">
        <f t="shared" si="170"/>
      </c>
      <c r="J140" s="46">
        <f t="shared" si="170"/>
      </c>
      <c r="K140" s="45">
        <f t="shared" si="170"/>
      </c>
      <c r="L140" s="45"/>
      <c r="M140" s="45">
        <f t="shared" si="170"/>
      </c>
      <c r="N140" s="85"/>
      <c r="O140" s="47">
        <f aca="true" t="shared" si="171" ref="O140:V140">IF(O139=0,"",обідл*O139/1000)</f>
      </c>
      <c r="P140" s="45">
        <f t="shared" si="171"/>
      </c>
      <c r="Q140" s="46">
        <f t="shared" si="171"/>
      </c>
      <c r="R140" s="45"/>
      <c r="S140" s="46">
        <f t="shared" si="171"/>
      </c>
      <c r="T140" s="45">
        <f t="shared" si="171"/>
      </c>
      <c r="U140" s="46">
        <f t="shared" si="171"/>
      </c>
      <c r="V140" s="45">
        <f t="shared" si="171"/>
      </c>
      <c r="W140" s="45">
        <f>IF(W139=0,"",полдникл*W139/1000)</f>
      </c>
      <c r="X140" s="45">
        <f>IF(X139=0,"",полдникл*X139/1000)</f>
      </c>
      <c r="Y140" s="85">
        <f>IF(Y139=0,"",полдникл*Y139/1000)</f>
      </c>
      <c r="Z140" s="47">
        <f aca="true" t="shared" si="172" ref="Z140:AG140">IF(Z139=0,"",ужинл*Z139/1000)</f>
      </c>
      <c r="AA140" s="46">
        <f t="shared" si="172"/>
      </c>
      <c r="AB140" s="45">
        <f t="shared" si="172"/>
      </c>
      <c r="AC140" s="46">
        <f t="shared" si="172"/>
      </c>
      <c r="AD140" s="45"/>
      <c r="AE140" s="46">
        <f t="shared" si="172"/>
      </c>
      <c r="AF140" s="45">
        <f t="shared" si="172"/>
      </c>
      <c r="AG140" s="85">
        <f t="shared" si="172"/>
      </c>
      <c r="AH140" s="113"/>
      <c r="AI140" s="122"/>
      <c r="AJ140" s="123"/>
      <c r="AK140" s="114"/>
      <c r="AL140" s="114"/>
      <c r="AM140" s="176"/>
      <c r="AN140" s="116"/>
      <c r="AP140">
        <v>136</v>
      </c>
      <c r="AQ140" s="60" t="s">
        <v>195</v>
      </c>
      <c r="BG140">
        <v>7.5</v>
      </c>
      <c r="BW140">
        <v>0.5</v>
      </c>
      <c r="CH140">
        <v>14.3</v>
      </c>
      <c r="CJ140" s="60">
        <v>40</v>
      </c>
      <c r="DE140" s="60">
        <v>50</v>
      </c>
      <c r="DH140">
        <v>1</v>
      </c>
    </row>
    <row r="141" spans="1:138" ht="30.75" customHeight="1">
      <c r="A141" s="153" t="s">
        <v>39</v>
      </c>
      <c r="B141" s="153"/>
      <c r="C141" s="153"/>
      <c r="D141" s="153"/>
      <c r="E141" s="154"/>
      <c r="F141" s="68" t="s">
        <v>93</v>
      </c>
      <c r="G141" s="76">
        <f>VLOOKUP(завтрак1,таб,49,FALSE)</f>
        <v>0</v>
      </c>
      <c r="H141" s="36">
        <v>1</v>
      </c>
      <c r="I141" s="37">
        <f>VLOOKUP(завтрак3,таб,49,FALSE)</f>
        <v>0</v>
      </c>
      <c r="J141" s="36">
        <f>VLOOKUP(завтрак4,таб,49,FALSE)</f>
        <v>0</v>
      </c>
      <c r="K141" s="37">
        <f>VLOOKUP(завтрак5,таб,49,FALSE)</f>
        <v>0</v>
      </c>
      <c r="L141" s="37"/>
      <c r="M141" s="27">
        <f>VLOOKUP(завтрак7,таб,51,FALSE)</f>
        <v>0</v>
      </c>
      <c r="N141" s="84"/>
      <c r="O141" s="38">
        <f>VLOOKUP(обед1,таб,49,FALSE)</f>
        <v>0</v>
      </c>
      <c r="P141" s="37">
        <v>1</v>
      </c>
      <c r="Q141" s="36">
        <f>VLOOKUP(обед3,таб,49,FALSE)</f>
        <v>0</v>
      </c>
      <c r="R141" s="37"/>
      <c r="S141" s="36">
        <f>VLOOKUP(обед5,таб,49,FALSE)</f>
        <v>0</v>
      </c>
      <c r="T141" s="37">
        <f>VLOOKUP(обед6,таб,49,FALSE)</f>
        <v>0</v>
      </c>
      <c r="U141" s="36">
        <f>VLOOKUP(обед7,таб,49,FALSE)</f>
        <v>0</v>
      </c>
      <c r="V141" s="37">
        <f>VLOOKUP(обед8,таб,49,FALSE)</f>
        <v>0</v>
      </c>
      <c r="W141" s="37">
        <f>VLOOKUP(полдник1,таб,49,FALSE)</f>
        <v>0</v>
      </c>
      <c r="X141" s="37">
        <f>VLOOKUP(полдник2,таб,49,FALSE)</f>
        <v>0</v>
      </c>
      <c r="Y141" s="91">
        <f>VLOOKUP(полдник3,таб,49,FALSE)</f>
        <v>0</v>
      </c>
      <c r="Z141" s="38">
        <f>VLOOKUP(ужин1,таб,49,FALSE)</f>
        <v>0</v>
      </c>
      <c r="AA141" s="36">
        <f>VLOOKUP(ужин2,таб,49,FALSE)</f>
        <v>0</v>
      </c>
      <c r="AB141" s="37">
        <f>VLOOKUP(ужин3,таб,49,FALSE)</f>
        <v>0</v>
      </c>
      <c r="AC141" s="36"/>
      <c r="AD141" s="37"/>
      <c r="AE141" s="36">
        <f>VLOOKUP(ужин6,таб,49,FALSE)</f>
        <v>0</v>
      </c>
      <c r="AF141" s="37">
        <f>VLOOKUP(ужин7,таб,49,FALSE)</f>
        <v>0</v>
      </c>
      <c r="AG141" s="91">
        <f>VLOOKUP(ужин8,таб,49,FALSE)</f>
        <v>0</v>
      </c>
      <c r="AH141" s="112"/>
      <c r="AI141" s="122">
        <f>AK141/сред</f>
        <v>0.0021000000000000003</v>
      </c>
      <c r="AJ141" s="123"/>
      <c r="AK141" s="114">
        <f>SUM(G142:AG142)</f>
        <v>0.042</v>
      </c>
      <c r="AL141" s="114"/>
      <c r="AM141" s="175">
        <v>60</v>
      </c>
      <c r="AN141" s="115">
        <f>AK141*AM141</f>
        <v>2.52</v>
      </c>
      <c r="AP141">
        <v>137</v>
      </c>
      <c r="AQ141" s="60" t="s">
        <v>196</v>
      </c>
      <c r="BG141">
        <v>10</v>
      </c>
      <c r="CH141">
        <v>47.5</v>
      </c>
      <c r="DE141" s="60">
        <v>50</v>
      </c>
      <c r="EH141">
        <v>2.5</v>
      </c>
    </row>
    <row r="142" spans="1:139" ht="30.75" customHeight="1">
      <c r="A142" s="157"/>
      <c r="B142" s="157"/>
      <c r="C142" s="157"/>
      <c r="D142" s="157"/>
      <c r="E142" s="158"/>
      <c r="F142" s="65" t="s">
        <v>94</v>
      </c>
      <c r="G142" s="77">
        <f aca="true" t="shared" si="173" ref="G142:M142">IF(G141=0,"",завтракл*G141/1000)</f>
      </c>
      <c r="H142" s="48">
        <f t="shared" si="173"/>
        <v>0.021</v>
      </c>
      <c r="I142" s="44">
        <f t="shared" si="173"/>
      </c>
      <c r="J142" s="48">
        <f t="shared" si="173"/>
      </c>
      <c r="K142" s="44">
        <f t="shared" si="173"/>
      </c>
      <c r="L142" s="44"/>
      <c r="M142" s="45">
        <f t="shared" si="173"/>
      </c>
      <c r="N142" s="85"/>
      <c r="O142" s="49">
        <f aca="true" t="shared" si="174" ref="O142:V142">IF(O141=0,"",обідл*O141/1000)</f>
      </c>
      <c r="P142" s="44">
        <f t="shared" si="174"/>
        <v>0.021</v>
      </c>
      <c r="Q142" s="48">
        <f t="shared" si="174"/>
      </c>
      <c r="R142" s="44"/>
      <c r="S142" s="48">
        <f t="shared" si="174"/>
      </c>
      <c r="T142" s="44">
        <f t="shared" si="174"/>
      </c>
      <c r="U142" s="48">
        <f t="shared" si="174"/>
      </c>
      <c r="V142" s="44">
        <f t="shared" si="174"/>
      </c>
      <c r="W142" s="44">
        <f>IF(W141=0,"",полдникл*W141/1000)</f>
      </c>
      <c r="X142" s="44">
        <f>IF(X141=0,"",полдникл*X141/1000)</f>
      </c>
      <c r="Y142" s="88">
        <f>IF(Y141=0,"",полдникл*Y141/1000)</f>
      </c>
      <c r="Z142" s="49">
        <f aca="true" t="shared" si="175" ref="Z142:AG142">IF(Z141=0,"",ужинл*Z141/1000)</f>
      </c>
      <c r="AA142" s="48">
        <f t="shared" si="175"/>
      </c>
      <c r="AB142" s="44">
        <f t="shared" si="175"/>
      </c>
      <c r="AC142" s="48">
        <f t="shared" si="175"/>
      </c>
      <c r="AD142" s="44"/>
      <c r="AE142" s="48">
        <f t="shared" si="175"/>
      </c>
      <c r="AF142" s="44">
        <f t="shared" si="175"/>
      </c>
      <c r="AG142" s="88">
        <f t="shared" si="175"/>
      </c>
      <c r="AH142" s="113"/>
      <c r="AI142" s="122"/>
      <c r="AJ142" s="123"/>
      <c r="AK142" s="114"/>
      <c r="AL142" s="114"/>
      <c r="AM142" s="176"/>
      <c r="AN142" s="116"/>
      <c r="AP142">
        <v>138</v>
      </c>
      <c r="AQ142" s="60" t="s">
        <v>198</v>
      </c>
      <c r="BA142">
        <v>1.7</v>
      </c>
      <c r="BC142">
        <v>3.8</v>
      </c>
      <c r="CH142" s="60">
        <v>41.5</v>
      </c>
      <c r="DE142" s="60">
        <v>50</v>
      </c>
      <c r="EI142">
        <v>19</v>
      </c>
    </row>
    <row r="143" spans="1:109" ht="30.75" customHeight="1">
      <c r="A143" s="128" t="s">
        <v>52</v>
      </c>
      <c r="B143" s="128"/>
      <c r="C143" s="128"/>
      <c r="D143" s="128"/>
      <c r="E143" s="129"/>
      <c r="F143" s="68" t="s">
        <v>93</v>
      </c>
      <c r="G143" s="74">
        <f>VLOOKUP(завтрак1,таб,68,FALSE)</f>
        <v>0</v>
      </c>
      <c r="H143" s="33">
        <f>VLOOKUP(завтрак2,таб,68,FALSE)</f>
        <v>0</v>
      </c>
      <c r="I143" s="34">
        <f>VLOOKUP(завтрак3,таб,68,FALSE)</f>
        <v>0</v>
      </c>
      <c r="J143" s="33">
        <f>VLOOKUP(завтрак4,таб,68,FALSE)</f>
        <v>0</v>
      </c>
      <c r="K143" s="34">
        <f>VLOOKUP(завтрак5,таб,68,FALSE)</f>
        <v>0</v>
      </c>
      <c r="L143" s="34"/>
      <c r="M143" s="27">
        <f>VLOOKUP(завтрак7,таб,68,FALSE)</f>
        <v>0</v>
      </c>
      <c r="N143" s="84"/>
      <c r="O143" s="35">
        <f>VLOOKUP(обед1,таб,68,FALSE)</f>
        <v>0</v>
      </c>
      <c r="P143" s="34">
        <f>VLOOKUP(обед2,таб,68,FALSE)</f>
        <v>0</v>
      </c>
      <c r="Q143" s="33">
        <f>VLOOKUP(обед3,таб,68,FALSE)</f>
        <v>0</v>
      </c>
      <c r="R143" s="34"/>
      <c r="S143" s="33">
        <f>VLOOKUP(обед5,таб,68,FALSE)</f>
        <v>0</v>
      </c>
      <c r="T143" s="34">
        <f>VLOOKUP(обед6,таб,68,FALSE)</f>
        <v>0</v>
      </c>
      <c r="U143" s="33">
        <f>VLOOKUP(обед7,таб,68,FALSE)</f>
        <v>0</v>
      </c>
      <c r="V143" s="34">
        <f>VLOOKUP(обед8,таб,68,FALSE)</f>
        <v>0</v>
      </c>
      <c r="W143" s="34">
        <f>VLOOKUP(полдник1,таб,68,FALSE)</f>
        <v>0</v>
      </c>
      <c r="X143" s="34">
        <f>VLOOKUP(полдник2,таб,68,FALSE)</f>
        <v>0</v>
      </c>
      <c r="Y143" s="90">
        <f>VLOOKUP(полдник3,таб,68,FALSE)</f>
        <v>0</v>
      </c>
      <c r="Z143" s="35">
        <f>VLOOKUP(ужин1,таб,68,FALSE)</f>
        <v>0</v>
      </c>
      <c r="AA143" s="33">
        <f>VLOOKUP(ужин2,таб,68,FALSE)</f>
        <v>0</v>
      </c>
      <c r="AB143" s="34">
        <f>VLOOKUP(ужин3,таб,68,FALSE)</f>
        <v>0</v>
      </c>
      <c r="AC143" s="33">
        <f>VLOOKUP(ужин4,таб,68,FALSE)</f>
        <v>0</v>
      </c>
      <c r="AD143" s="34"/>
      <c r="AE143" s="33">
        <f>VLOOKUP(ужин6,таб,68,FALSE)</f>
        <v>0</v>
      </c>
      <c r="AF143" s="34">
        <f>VLOOKUP(ужин7,таб,68,FALSE)</f>
        <v>0</v>
      </c>
      <c r="AG143" s="90">
        <f>VLOOKUP(ужин8,таб,68,FALSE)</f>
        <v>0</v>
      </c>
      <c r="AH143" s="112"/>
      <c r="AI143" s="122">
        <f>AK143/сред</f>
        <v>0</v>
      </c>
      <c r="AJ143" s="123"/>
      <c r="AK143" s="114">
        <f>SUM(G144:AG144)</f>
        <v>0</v>
      </c>
      <c r="AL143" s="114"/>
      <c r="AM143" s="175">
        <f>IF(AK143=0,0,DF117)</f>
        <v>0</v>
      </c>
      <c r="AN143" s="115">
        <f>AK143*AM143</f>
        <v>0</v>
      </c>
      <c r="AP143">
        <v>139</v>
      </c>
      <c r="AQ143" s="60" t="s">
        <v>200</v>
      </c>
      <c r="BC143">
        <v>3</v>
      </c>
      <c r="BN143">
        <v>24.5</v>
      </c>
      <c r="CJ143">
        <v>25</v>
      </c>
      <c r="CO143">
        <v>30</v>
      </c>
      <c r="DE143" s="60">
        <v>100</v>
      </c>
    </row>
    <row r="144" spans="1:140" ht="30.75" customHeight="1">
      <c r="A144" s="128"/>
      <c r="B144" s="128"/>
      <c r="C144" s="128"/>
      <c r="D144" s="128"/>
      <c r="E144" s="129"/>
      <c r="F144" s="65" t="s">
        <v>94</v>
      </c>
      <c r="G144" s="75">
        <f aca="true" t="shared" si="176" ref="G144:M144">IF(G143=0,"",завтракл*G143/1000)</f>
      </c>
      <c r="H144" s="46">
        <f t="shared" si="176"/>
      </c>
      <c r="I144" s="45">
        <f t="shared" si="176"/>
      </c>
      <c r="J144" s="46">
        <f t="shared" si="176"/>
      </c>
      <c r="K144" s="45">
        <f t="shared" si="176"/>
      </c>
      <c r="L144" s="45"/>
      <c r="M144" s="45">
        <f t="shared" si="176"/>
      </c>
      <c r="N144" s="85"/>
      <c r="O144" s="47">
        <f aca="true" t="shared" si="177" ref="O144:V144">IF(O143=0,"",обідл*O143/1000)</f>
      </c>
      <c r="P144" s="45">
        <f t="shared" si="177"/>
      </c>
      <c r="Q144" s="46">
        <f t="shared" si="177"/>
      </c>
      <c r="R144" s="45"/>
      <c r="S144" s="46">
        <f t="shared" si="177"/>
      </c>
      <c r="T144" s="45">
        <f t="shared" si="177"/>
      </c>
      <c r="U144" s="46">
        <f t="shared" si="177"/>
      </c>
      <c r="V144" s="45">
        <f t="shared" si="177"/>
      </c>
      <c r="W144" s="45">
        <f>IF(W143=0,"",полдникл*W143/1000)</f>
      </c>
      <c r="X144" s="45">
        <f>IF(X143=0,"",полдникл*X143/1000)</f>
      </c>
      <c r="Y144" s="85">
        <f>IF(Y143=0,"",полдникл*Y143/1000)</f>
      </c>
      <c r="Z144" s="47">
        <f aca="true" t="shared" si="178" ref="Z144:AG144">IF(Z143=0,"",ужинл*Z143/1000)</f>
      </c>
      <c r="AA144" s="46">
        <f t="shared" si="178"/>
      </c>
      <c r="AB144" s="45">
        <f t="shared" si="178"/>
      </c>
      <c r="AC144" s="46">
        <f t="shared" si="178"/>
      </c>
      <c r="AD144" s="45"/>
      <c r="AE144" s="46">
        <f t="shared" si="178"/>
      </c>
      <c r="AF144" s="45">
        <f t="shared" si="178"/>
      </c>
      <c r="AG144" s="85">
        <f t="shared" si="178"/>
      </c>
      <c r="AH144" s="113"/>
      <c r="AI144" s="122"/>
      <c r="AJ144" s="123"/>
      <c r="AK144" s="114"/>
      <c r="AL144" s="114"/>
      <c r="AM144" s="176"/>
      <c r="AN144" s="116"/>
      <c r="AP144">
        <v>140</v>
      </c>
      <c r="AQ144" s="60" t="s">
        <v>201</v>
      </c>
      <c r="BG144">
        <v>10</v>
      </c>
      <c r="BI144">
        <v>8</v>
      </c>
      <c r="BJ144">
        <v>0.5</v>
      </c>
      <c r="CI144">
        <v>18.8</v>
      </c>
      <c r="DE144" s="60">
        <v>50</v>
      </c>
      <c r="EJ144">
        <v>0.5</v>
      </c>
    </row>
    <row r="145" spans="1:109" ht="30.75" customHeight="1">
      <c r="A145" s="153" t="s">
        <v>40</v>
      </c>
      <c r="B145" s="153"/>
      <c r="C145" s="153"/>
      <c r="D145" s="153"/>
      <c r="E145" s="154"/>
      <c r="F145" s="68" t="s">
        <v>93</v>
      </c>
      <c r="G145" s="76">
        <f>VLOOKUP(завтрак1,таб,52,FALSE)</f>
        <v>0</v>
      </c>
      <c r="H145" s="36">
        <f>VLOOKUP(завтрак2,таб,52,FALSE)</f>
        <v>0</v>
      </c>
      <c r="I145" s="37">
        <f>VLOOKUP(завтрак3,таб,52,FALSE)</f>
        <v>0</v>
      </c>
      <c r="J145" s="36">
        <f>VLOOKUP(завтрак4,таб,52,FALSE)</f>
        <v>0</v>
      </c>
      <c r="K145" s="37">
        <f>VLOOKUP(завтрак5,таб,52,FALSE)</f>
        <v>0</v>
      </c>
      <c r="L145" s="37"/>
      <c r="M145" s="27">
        <f>VLOOKUP(завтрак7,таб,52,FALSE)</f>
        <v>0</v>
      </c>
      <c r="N145" s="84"/>
      <c r="O145" s="38">
        <f>VLOOKUP(обед1,таб,52,FALSE)</f>
        <v>0</v>
      </c>
      <c r="P145" s="37">
        <f>VLOOKUP(обед2,таб,52,FALSE)</f>
        <v>0</v>
      </c>
      <c r="Q145" s="36">
        <f>VLOOKUP(обед3,таб,52,FALSE)</f>
        <v>0</v>
      </c>
      <c r="R145" s="37"/>
      <c r="S145" s="36">
        <f>VLOOKUP(обед5,таб,52,FALSE)</f>
        <v>0</v>
      </c>
      <c r="T145" s="37">
        <f>VLOOKUP(обед6,таб,52,FALSE)</f>
        <v>0</v>
      </c>
      <c r="U145" s="36">
        <f>VLOOKUP(обед7,таб,52,FALSE)</f>
        <v>0</v>
      </c>
      <c r="V145" s="37">
        <f>VLOOKUP(обед8,таб,52,FALSE)</f>
        <v>0</v>
      </c>
      <c r="W145" s="37">
        <f>VLOOKUP(полдник1,таб,52,FALSE)</f>
        <v>0</v>
      </c>
      <c r="X145" s="37">
        <f>VLOOKUP(полдник2,таб,52,FALSE)</f>
        <v>0</v>
      </c>
      <c r="Y145" s="91">
        <f>VLOOKUP(полдник3,таб,52,FALSE)</f>
        <v>0</v>
      </c>
      <c r="Z145" s="38">
        <f>VLOOKUP(ужин1,таб,52,FALSE)</f>
        <v>0</v>
      </c>
      <c r="AA145" s="36"/>
      <c r="AB145" s="37">
        <f>VLOOKUP(ужин3,таб,52,FALSE)</f>
        <v>0</v>
      </c>
      <c r="AC145" s="36">
        <f>VLOOKUP(ужин4,таб,52,FALSE)</f>
        <v>0</v>
      </c>
      <c r="AD145" s="37"/>
      <c r="AE145" s="36">
        <f>VLOOKUP(ужин6,таб,52,FALSE)</f>
        <v>0</v>
      </c>
      <c r="AF145" s="37">
        <f>VLOOKUP(ужин7,таб,52,FALSE)</f>
        <v>0</v>
      </c>
      <c r="AG145" s="91">
        <f>VLOOKUP(ужин8,таб,52,FALSE)</f>
        <v>0</v>
      </c>
      <c r="AH145" s="112"/>
      <c r="AI145" s="122">
        <f>AK145/сред</f>
        <v>0</v>
      </c>
      <c r="AJ145" s="123"/>
      <c r="AK145" s="114">
        <f>SUM(G146:AG146)</f>
        <v>0</v>
      </c>
      <c r="AL145" s="114"/>
      <c r="AM145" s="175">
        <f>IF(AK145=0,0,CP117)</f>
        <v>0</v>
      </c>
      <c r="AN145" s="115">
        <f>AK145*AM145</f>
        <v>0</v>
      </c>
      <c r="AP145">
        <v>141</v>
      </c>
      <c r="AQ145" s="60" t="s">
        <v>203</v>
      </c>
      <c r="BG145">
        <v>5</v>
      </c>
      <c r="BJ145">
        <v>1</v>
      </c>
      <c r="CF145">
        <v>17.8</v>
      </c>
      <c r="DE145" s="60">
        <v>50</v>
      </c>
    </row>
    <row r="146" spans="1:112" ht="30.75" customHeight="1">
      <c r="A146" s="157"/>
      <c r="B146" s="157"/>
      <c r="C146" s="157"/>
      <c r="D146" s="157"/>
      <c r="E146" s="158"/>
      <c r="F146" s="65" t="s">
        <v>94</v>
      </c>
      <c r="G146" s="77">
        <f aca="true" t="shared" si="179" ref="G146:M146">IF(G145=0,"",завтракл*G145/1000)</f>
      </c>
      <c r="H146" s="44">
        <f t="shared" si="179"/>
      </c>
      <c r="I146" s="44">
        <f t="shared" si="179"/>
      </c>
      <c r="J146" s="44">
        <f t="shared" si="179"/>
      </c>
      <c r="K146" s="44">
        <f t="shared" si="179"/>
      </c>
      <c r="L146" s="44"/>
      <c r="M146" s="45">
        <f t="shared" si="179"/>
      </c>
      <c r="N146" s="85"/>
      <c r="O146" s="49">
        <f aca="true" t="shared" si="180" ref="O146:V146">IF(O145=0,"",обідл*O145/1000)</f>
      </c>
      <c r="P146" s="44">
        <f t="shared" si="180"/>
      </c>
      <c r="Q146" s="48">
        <f t="shared" si="180"/>
      </c>
      <c r="R146" s="44"/>
      <c r="S146" s="48">
        <f t="shared" si="180"/>
      </c>
      <c r="T146" s="44">
        <f t="shared" si="180"/>
      </c>
      <c r="U146" s="48">
        <f t="shared" si="180"/>
      </c>
      <c r="V146" s="44">
        <f t="shared" si="180"/>
      </c>
      <c r="W146" s="44">
        <f>IF(W145=0,"",полдникл*W145/1000)</f>
      </c>
      <c r="X146" s="44">
        <f>IF(X145=0,"",полдникл*X145/1000)</f>
      </c>
      <c r="Y146" s="88">
        <f>IF(Y145=0,"",полдникл*Y145/1000)</f>
      </c>
      <c r="Z146" s="49">
        <f aca="true" t="shared" si="181" ref="Z146:AG146">IF(Z145=0,"",ужинл*Z145/1000)</f>
      </c>
      <c r="AA146" s="48">
        <f t="shared" si="181"/>
      </c>
      <c r="AB146" s="44">
        <f t="shared" si="181"/>
      </c>
      <c r="AC146" s="48">
        <f t="shared" si="181"/>
      </c>
      <c r="AD146" s="44"/>
      <c r="AE146" s="48">
        <f t="shared" si="181"/>
      </c>
      <c r="AF146" s="44">
        <f t="shared" si="181"/>
      </c>
      <c r="AG146" s="88">
        <f t="shared" si="181"/>
      </c>
      <c r="AH146" s="113"/>
      <c r="AI146" s="122"/>
      <c r="AJ146" s="123"/>
      <c r="AK146" s="114"/>
      <c r="AL146" s="114"/>
      <c r="AM146" s="176"/>
      <c r="AN146" s="116"/>
      <c r="AP146">
        <v>142</v>
      </c>
      <c r="AQ146" s="60" t="s">
        <v>204</v>
      </c>
      <c r="BC146">
        <v>1.5</v>
      </c>
      <c r="BJ146">
        <v>0.5</v>
      </c>
      <c r="DE146" s="60">
        <v>50</v>
      </c>
      <c r="DG146">
        <v>30</v>
      </c>
      <c r="DH146">
        <v>0.3</v>
      </c>
    </row>
    <row r="147" spans="1:111" ht="25.5">
      <c r="A147" s="128" t="s">
        <v>452</v>
      </c>
      <c r="B147" s="128"/>
      <c r="C147" s="128"/>
      <c r="D147" s="128"/>
      <c r="E147" s="129"/>
      <c r="F147" s="68" t="s">
        <v>93</v>
      </c>
      <c r="G147" s="74">
        <f>IF(завтрак1="хліб пшеничний",100,(VLOOKUP(завтрак1,таб,53,FALSE)))</f>
        <v>0</v>
      </c>
      <c r="H147" s="33">
        <f>IF(завтрак2="хліб пшеничний",100,(VLOOKUP(завтрак2,таб,53,FALSE)))</f>
        <v>0</v>
      </c>
      <c r="I147" s="34">
        <f>IF(завтрак3="хліб пшеничний",100,(VLOOKUP(завтрак3,таб,53,FALSE)))</f>
        <v>0</v>
      </c>
      <c r="J147" s="33">
        <f>IF(завтрак4="хліб пшеничний",100,(VLOOKUP(завтрак4,таб,53,FALSE)))</f>
        <v>0</v>
      </c>
      <c r="K147" s="34"/>
      <c r="L147" s="34"/>
      <c r="M147" s="27">
        <f>IF(завтрак7="хліб пшеничний",100,(VLOOKUP(завтрак7,таб,53,FALSE)))</f>
        <v>30</v>
      </c>
      <c r="N147" s="84"/>
      <c r="O147" s="35">
        <f>IF(обед1="хліб пшеничний",150,(VLOOKUP(обед1,таб,53,FALSE)))</f>
        <v>0</v>
      </c>
      <c r="P147" s="34">
        <f>IF(обед2="хліб пшеничний",150,(VLOOKUP(обед2,таб,53,FALSE)))</f>
        <v>0</v>
      </c>
      <c r="Q147" s="33">
        <f>IF(обед3="хліб пшеничний",150,(VLOOKUP(обед3,таб,53,FALSE)))</f>
        <v>0</v>
      </c>
      <c r="R147" s="34"/>
      <c r="S147" s="33"/>
      <c r="T147" s="34">
        <f>IF(обед6="хліб пшеничний",150,(VLOOKUP(обед6,таб,53,FALSE)))</f>
        <v>0</v>
      </c>
      <c r="U147" s="33">
        <f>IF(обед7="хліб пшеничний",150,(VLOOKUP(обед7,таб,53,FALSE)))</f>
        <v>0</v>
      </c>
      <c r="V147" s="34">
        <f>IF(обед8="хліб пшеничний",150,(VLOOKUP(обед8,таб,53,FALSE)))</f>
        <v>0</v>
      </c>
      <c r="W147" s="34">
        <f>VLOOKUP(полдник1,таб,53,FALSE)</f>
        <v>0</v>
      </c>
      <c r="X147" s="34">
        <f>VLOOKUP(полдник2,таб,53,FALSE)</f>
        <v>0</v>
      </c>
      <c r="Y147" s="90">
        <f>VLOOKUP(полдник3,таб,53,FALSE)</f>
        <v>0</v>
      </c>
      <c r="Z147" s="35">
        <f>IF(ужин1="хліб пшеничний",80,(VLOOKUP(ужин1,таб,53,FALSE)))</f>
        <v>0</v>
      </c>
      <c r="AA147" s="33">
        <f>IF(ужин2="хліб пшеничний",80,(VLOOKUP(ужин2,таб,53,FALSE)))</f>
        <v>0</v>
      </c>
      <c r="AB147" s="34">
        <f>IF(ужин3="хліб пшеничний",80,(VLOOKUP(ужин3,таб,53,FALSE)))</f>
        <v>0</v>
      </c>
      <c r="AC147" s="33">
        <f>IF(ужин4="хліб пшеничний",80,(VLOOKUP(ужин4,таб,53,FALSE)))</f>
        <v>0</v>
      </c>
      <c r="AD147" s="34"/>
      <c r="AE147" s="33">
        <f>IF(ужин6="хліб пшеничний",80,(VLOOKUP(ужин6,таб,53,FALSE)))</f>
        <v>30</v>
      </c>
      <c r="AF147" s="34">
        <f>IF(ужин7="хліб пшеничний",80,(VLOOKUP(ужин7,таб,53,FALSE)))</f>
        <v>0</v>
      </c>
      <c r="AG147" s="90">
        <f>IF(ужин8="хліб пшеничний",80,(VLOOKUP(ужин8,таб,53,FALSE)))</f>
        <v>0</v>
      </c>
      <c r="AH147" s="112">
        <v>616001</v>
      </c>
      <c r="AI147" s="122">
        <f>AK147/сред</f>
        <v>0.058499999999999996</v>
      </c>
      <c r="AJ147" s="123"/>
      <c r="AK147" s="114">
        <f>SUM(G148:AG148)</f>
        <v>1.17</v>
      </c>
      <c r="AL147" s="114"/>
      <c r="AM147" s="175">
        <v>27.72</v>
      </c>
      <c r="AN147" s="115">
        <f>AK147*AM147</f>
        <v>32.432399999999994</v>
      </c>
      <c r="AP147">
        <v>143</v>
      </c>
      <c r="AQ147" s="60" t="s">
        <v>205</v>
      </c>
      <c r="BA147">
        <v>1.7</v>
      </c>
      <c r="BC147">
        <v>3.8</v>
      </c>
      <c r="CH147">
        <v>33.8</v>
      </c>
      <c r="CJ147">
        <v>10</v>
      </c>
      <c r="DE147" s="60">
        <v>50</v>
      </c>
      <c r="DG147">
        <v>11</v>
      </c>
    </row>
    <row r="148" spans="1:119" ht="30.75" customHeight="1">
      <c r="A148" s="128"/>
      <c r="B148" s="128"/>
      <c r="C148" s="128"/>
      <c r="D148" s="128"/>
      <c r="E148" s="129"/>
      <c r="F148" s="65" t="s">
        <v>94</v>
      </c>
      <c r="G148" s="75">
        <f aca="true" t="shared" si="182" ref="G148:M148">IF(G147=0,"",завтракл*G147/1000)</f>
      </c>
      <c r="H148" s="46">
        <f t="shared" si="182"/>
      </c>
      <c r="I148" s="45">
        <f t="shared" si="182"/>
      </c>
      <c r="J148" s="46">
        <f t="shared" si="182"/>
      </c>
      <c r="K148" s="45">
        <f t="shared" si="182"/>
      </c>
      <c r="L148" s="45"/>
      <c r="M148" s="45">
        <f t="shared" si="182"/>
        <v>0.63</v>
      </c>
      <c r="N148" s="85"/>
      <c r="O148" s="47">
        <f aca="true" t="shared" si="183" ref="O148:V148">IF(O147=0,"",обідл*O147/1000)</f>
      </c>
      <c r="P148" s="45">
        <f t="shared" si="183"/>
      </c>
      <c r="Q148" s="46">
        <f t="shared" si="183"/>
      </c>
      <c r="R148" s="45"/>
      <c r="S148" s="46">
        <f t="shared" si="183"/>
      </c>
      <c r="T148" s="45">
        <f t="shared" si="183"/>
      </c>
      <c r="U148" s="46">
        <f t="shared" si="183"/>
      </c>
      <c r="V148" s="45">
        <f t="shared" si="183"/>
      </c>
      <c r="W148" s="45">
        <f>IF(W147=0,"",полдникл*W147/1000)</f>
      </c>
      <c r="X148" s="45">
        <f>IF(X147=0,"",полдникл*X147/1000)</f>
      </c>
      <c r="Y148" s="85">
        <f>IF(Y147=0,"",полдникл*Y147/1000)</f>
      </c>
      <c r="Z148" s="47">
        <f aca="true" t="shared" si="184" ref="Z148:AG148">IF(Z147=0,"",ужинл*Z147/1000)</f>
      </c>
      <c r="AA148" s="46">
        <f t="shared" si="184"/>
      </c>
      <c r="AB148" s="45">
        <f t="shared" si="184"/>
      </c>
      <c r="AC148" s="46">
        <f t="shared" si="184"/>
      </c>
      <c r="AD148" s="45"/>
      <c r="AE148" s="46">
        <f t="shared" si="184"/>
        <v>0.54</v>
      </c>
      <c r="AF148" s="45">
        <f t="shared" si="184"/>
      </c>
      <c r="AG148" s="85">
        <f t="shared" si="184"/>
      </c>
      <c r="AH148" s="113"/>
      <c r="AI148" s="122"/>
      <c r="AJ148" s="123"/>
      <c r="AK148" s="114"/>
      <c r="AL148" s="114"/>
      <c r="AM148" s="176"/>
      <c r="AN148" s="116"/>
      <c r="AP148">
        <v>145</v>
      </c>
      <c r="AQ148" s="60" t="s">
        <v>206</v>
      </c>
      <c r="BC148">
        <v>1.5</v>
      </c>
      <c r="CA148">
        <v>23.9</v>
      </c>
      <c r="CN148">
        <v>17.1</v>
      </c>
      <c r="DE148" s="60">
        <v>50</v>
      </c>
      <c r="DO148">
        <v>22.5</v>
      </c>
    </row>
    <row r="149" spans="1:109" ht="30.75" customHeight="1">
      <c r="A149" s="153" t="s">
        <v>462</v>
      </c>
      <c r="B149" s="153"/>
      <c r="C149" s="153"/>
      <c r="D149" s="153"/>
      <c r="E149" s="154"/>
      <c r="F149" s="68" t="s">
        <v>93</v>
      </c>
      <c r="G149" s="76">
        <f>IF(завтрак1="хліб житній",50,(VLOOKUP(завтрак1,таб,54,FALSE)))</f>
        <v>0</v>
      </c>
      <c r="H149" s="36">
        <f>IF(завтрак2="хліб житній",50,(VLOOKUP(завтрак2,таб,54,FALSE)))</f>
        <v>0</v>
      </c>
      <c r="I149" s="37">
        <f>IF(завтрак3="хліб житній",50,(VLOOKUP(завтрак3,таб,54,FALSE)))</f>
        <v>0</v>
      </c>
      <c r="J149" s="36">
        <f>IF(завтрак4="хліб житній",50,(VLOOKUP(завтрак4,таб,54,FALSE)))</f>
        <v>0</v>
      </c>
      <c r="K149" s="37">
        <f>IF(завтрак5="хліб житній",50,(VLOOKUP(завтрак5,таб,54,FALSE)))</f>
        <v>0</v>
      </c>
      <c r="L149" s="37"/>
      <c r="M149" s="27">
        <f>IF(завтрак7="хліб житній",50,(VLOOKUP(завтрак7,таб,54,FALSE)))</f>
        <v>0</v>
      </c>
      <c r="N149" s="84"/>
      <c r="O149" s="38">
        <f>IF(обед1="хліб житній",100,VLOOKUP(обед1,таб,54,FALSE))</f>
        <v>0</v>
      </c>
      <c r="P149" s="37">
        <f>IF(обед2="хліб житній",100,VLOOKUP(обед2,таб,54,FALSE))</f>
        <v>0</v>
      </c>
      <c r="Q149" s="36">
        <f>IF(обед3="хліб житній",100,VLOOKUP(обед3,таб,54,FALSE))</f>
        <v>0</v>
      </c>
      <c r="R149" s="37">
        <v>30</v>
      </c>
      <c r="S149" s="36">
        <f>IF(обед5="хліб житній",100,VLOOKUP(обед5,таб,54,FALSE))</f>
        <v>0</v>
      </c>
      <c r="T149" s="37">
        <f>IF(обед6="хліб житній",100,VLOOKUP(обед6,таб,54,FALSE))</f>
        <v>0</v>
      </c>
      <c r="U149" s="36">
        <f>IF(обед7="хліб житній",100,VLOOKUP(обед7,таб,54,FALSE))</f>
        <v>0</v>
      </c>
      <c r="V149" s="37">
        <f>IF(обед8="хліб житній",100,VLOOKUP(обед8,таб,54,FALSE))</f>
        <v>0</v>
      </c>
      <c r="W149" s="37">
        <f>VLOOKUP(полдник1,таб,54,FALSE)</f>
        <v>0</v>
      </c>
      <c r="X149" s="37">
        <f>VLOOKUP(полдник2,таб,54,FALSE)</f>
        <v>0</v>
      </c>
      <c r="Y149" s="91">
        <f>VLOOKUP(полдник3,таб,54,FALSE)</f>
        <v>0</v>
      </c>
      <c r="Z149" s="38">
        <f>IF(ужин1="хліб житній",50,VLOOKUP(ужин1,таб,54,FALSE))</f>
        <v>0</v>
      </c>
      <c r="AA149" s="36">
        <f>IF(ужин2="хліб житній",50,VLOOKUP(ужин2,таб,54,FALSE))</f>
        <v>0</v>
      </c>
      <c r="AB149" s="37">
        <f>IF(ужин3="хліб житній",50,VLOOKUP(ужин3,таб,54,FALSE))</f>
        <v>0</v>
      </c>
      <c r="AC149" s="36">
        <f>IF(ужин4="хліб житній",50,VLOOKUP(ужин4,таб,54,FALSE))</f>
        <v>0</v>
      </c>
      <c r="AD149" s="37"/>
      <c r="AE149" s="36">
        <f>IF(ужин6="хліб житній",50,VLOOKUP(ужин6,таб,54,FALSE))</f>
        <v>0</v>
      </c>
      <c r="AF149" s="37">
        <f>IF(ужин7="хліб житній",50,VLOOKUP(ужин7,таб,54,FALSE))</f>
        <v>0</v>
      </c>
      <c r="AG149" s="91">
        <f>IF(ужин8="хліб житній",50,VLOOKUP(ужин8,таб,54,FALSE))</f>
        <v>0</v>
      </c>
      <c r="AH149" s="112">
        <v>616002</v>
      </c>
      <c r="AI149" s="122">
        <f>AK149/сред</f>
        <v>0.0315</v>
      </c>
      <c r="AJ149" s="123"/>
      <c r="AK149" s="114">
        <f>SUM(G150:AG150)</f>
        <v>0.63</v>
      </c>
      <c r="AL149" s="114"/>
      <c r="AM149" s="175">
        <v>15.7</v>
      </c>
      <c r="AN149" s="115">
        <f>AK149*AM149</f>
        <v>9.891</v>
      </c>
      <c r="AP149">
        <v>146</v>
      </c>
      <c r="AQ149" s="60" t="s">
        <v>207</v>
      </c>
      <c r="BA149">
        <v>0.5</v>
      </c>
      <c r="BC149">
        <v>1.5</v>
      </c>
      <c r="BW149">
        <v>0.5</v>
      </c>
      <c r="CI149">
        <v>20.5</v>
      </c>
      <c r="CN149">
        <v>66.2</v>
      </c>
      <c r="DE149" s="60">
        <v>75</v>
      </c>
    </row>
    <row r="150" spans="1:118" ht="30.75" customHeight="1">
      <c r="A150" s="157"/>
      <c r="B150" s="157"/>
      <c r="C150" s="157"/>
      <c r="D150" s="157"/>
      <c r="E150" s="158"/>
      <c r="F150" s="69" t="s">
        <v>94</v>
      </c>
      <c r="G150" s="77">
        <f aca="true" t="shared" si="185" ref="G150:M150">IF(G149=0,"",завтракл*G149/1000)</f>
      </c>
      <c r="H150" s="44">
        <f t="shared" si="185"/>
      </c>
      <c r="I150" s="44">
        <f t="shared" si="185"/>
      </c>
      <c r="J150" s="44">
        <f t="shared" si="185"/>
      </c>
      <c r="K150" s="44">
        <f t="shared" si="185"/>
      </c>
      <c r="L150" s="44"/>
      <c r="M150" s="45">
        <f t="shared" si="185"/>
      </c>
      <c r="N150" s="85"/>
      <c r="O150" s="49">
        <f aca="true" t="shared" si="186" ref="O150:V150">IF(O149=0,"",обідл*O149/1000)</f>
      </c>
      <c r="P150" s="44">
        <f t="shared" si="186"/>
      </c>
      <c r="Q150" s="48">
        <f t="shared" si="186"/>
      </c>
      <c r="R150" s="44">
        <f t="shared" si="186"/>
        <v>0.63</v>
      </c>
      <c r="S150" s="48">
        <f t="shared" si="186"/>
      </c>
      <c r="T150" s="44">
        <f t="shared" si="186"/>
      </c>
      <c r="U150" s="48">
        <f t="shared" si="186"/>
      </c>
      <c r="V150" s="44">
        <f t="shared" si="186"/>
      </c>
      <c r="W150" s="44">
        <f>IF(W149=0,"",полдникл*W149/1000)</f>
      </c>
      <c r="X150" s="44">
        <f>IF(X149=0,"",полдникл*X149/1000)</f>
      </c>
      <c r="Y150" s="88">
        <f>IF(Y149=0,"",полдникл*Y149/1000)</f>
      </c>
      <c r="Z150" s="49">
        <f aca="true" t="shared" si="187" ref="Z150:AG150">IF(Z149=0,"",ужинл*Z149/1000)</f>
      </c>
      <c r="AA150" s="48">
        <f t="shared" si="187"/>
      </c>
      <c r="AB150" s="44">
        <f t="shared" si="187"/>
      </c>
      <c r="AC150" s="48">
        <f t="shared" si="187"/>
      </c>
      <c r="AD150" s="44"/>
      <c r="AE150" s="48">
        <f t="shared" si="187"/>
      </c>
      <c r="AF150" s="44">
        <f t="shared" si="187"/>
      </c>
      <c r="AG150" s="88">
        <f t="shared" si="187"/>
      </c>
      <c r="AH150" s="113"/>
      <c r="AI150" s="122"/>
      <c r="AJ150" s="123"/>
      <c r="AK150" s="114"/>
      <c r="AL150" s="114"/>
      <c r="AM150" s="176"/>
      <c r="AN150" s="116"/>
      <c r="AP150">
        <v>147</v>
      </c>
      <c r="AQ150" s="60" t="s">
        <v>208</v>
      </c>
      <c r="BC150">
        <v>1.5</v>
      </c>
      <c r="CI150">
        <v>7.6</v>
      </c>
      <c r="CN150">
        <v>37.6</v>
      </c>
      <c r="DE150" s="60">
        <v>50</v>
      </c>
      <c r="DN150">
        <v>15.3</v>
      </c>
    </row>
    <row r="151" spans="1:119" ht="30.75" customHeight="1">
      <c r="A151" s="159" t="s">
        <v>450</v>
      </c>
      <c r="B151" s="159"/>
      <c r="C151" s="159"/>
      <c r="D151" s="159"/>
      <c r="E151" s="160"/>
      <c r="F151" s="68" t="s">
        <v>93</v>
      </c>
      <c r="G151" s="74">
        <f>VLOOKUP(завтрак1,таб,55,FALSE)</f>
        <v>0</v>
      </c>
      <c r="H151" s="27">
        <f>VLOOKUP(завтрак2,таб,55,FALSE)</f>
        <v>0</v>
      </c>
      <c r="I151" s="27">
        <f>VLOOKUP(завтрак3,таб,55,FALSE)</f>
        <v>0</v>
      </c>
      <c r="J151" s="27">
        <f>VLOOKUP(завтрак4,таб,55,FALSE)</f>
        <v>0</v>
      </c>
      <c r="K151" s="27">
        <f>VLOOKUP(завтрак5,таб,55,FALSE)</f>
        <v>0</v>
      </c>
      <c r="L151" s="27"/>
      <c r="M151" s="27">
        <f>VLOOKUP(завтрак7,таб,55,FALSE)</f>
        <v>0</v>
      </c>
      <c r="N151" s="84"/>
      <c r="O151" s="35">
        <f>VLOOKUP(обед1,таб,55,FALSE)</f>
        <v>0</v>
      </c>
      <c r="P151" s="34">
        <f>VLOOKUP(обед2,таб,55,FALSE)</f>
        <v>0</v>
      </c>
      <c r="Q151" s="33">
        <f>VLOOKUP(обед3,таб,55,FALSE)</f>
        <v>0</v>
      </c>
      <c r="R151" s="34"/>
      <c r="S151" s="33">
        <f>VLOOKUP(обед5,таб,55,FALSE)</f>
        <v>0</v>
      </c>
      <c r="T151" s="34">
        <f>VLOOKUP(обед6,таб,55,FALSE)</f>
        <v>0</v>
      </c>
      <c r="U151" s="33">
        <f>VLOOKUP(обед7,таб,55,FALSE)</f>
        <v>0</v>
      </c>
      <c r="V151" s="34">
        <f>VLOOKUP(обед8,таб,55,FALSE)</f>
        <v>0</v>
      </c>
      <c r="W151" s="34">
        <f>VLOOKUP(полдник1,таб,55,FALSE)</f>
        <v>0</v>
      </c>
      <c r="X151" s="34">
        <f>VLOOKUP(полдник2,таб,55,FALSE)</f>
        <v>0</v>
      </c>
      <c r="Y151" s="90">
        <f>VLOOKUP(полдник3,таб,55,FALSE)</f>
        <v>0</v>
      </c>
      <c r="Z151" s="35">
        <f>VLOOKUP(ужин1,таб,55,FALSE)</f>
        <v>0</v>
      </c>
      <c r="AA151" s="33">
        <f>VLOOKUP(ужин2,таб,55,FALSE)</f>
        <v>0</v>
      </c>
      <c r="AB151" s="34">
        <f>VLOOKUP(ужин3,таб,55,FALSE)</f>
        <v>0</v>
      </c>
      <c r="AC151" s="33">
        <f>VLOOKUP(ужин4,таб,55,FALSE)</f>
        <v>0</v>
      </c>
      <c r="AD151" s="34"/>
      <c r="AE151" s="33">
        <f>VLOOKUP(ужин6,таб,55,FALSE)</f>
        <v>0</v>
      </c>
      <c r="AF151" s="34">
        <f>VLOOKUP(ужин7,таб,55,FALSE)</f>
        <v>0</v>
      </c>
      <c r="AG151" s="90">
        <f>VLOOKUP(ужин8,таб,55,FALSE)</f>
        <v>0</v>
      </c>
      <c r="AH151" s="112"/>
      <c r="AI151" s="179">
        <f>AK151/сред</f>
        <v>0</v>
      </c>
      <c r="AJ151" s="121"/>
      <c r="AK151" s="121">
        <f>SUM(G152:AG152)</f>
        <v>0</v>
      </c>
      <c r="AL151" s="121"/>
      <c r="AM151" s="175">
        <f>IF(AK151=0,0,CS117)</f>
        <v>0</v>
      </c>
      <c r="AN151" s="115">
        <f>AK151*AM151</f>
        <v>0</v>
      </c>
      <c r="AP151">
        <v>148</v>
      </c>
      <c r="AQ151" s="60" t="s">
        <v>209</v>
      </c>
      <c r="BC151">
        <v>1.5</v>
      </c>
      <c r="BJ151">
        <v>0.5</v>
      </c>
      <c r="CH151">
        <v>23.1</v>
      </c>
      <c r="CN151">
        <v>14.1</v>
      </c>
      <c r="DE151" s="60">
        <v>50</v>
      </c>
      <c r="DO151">
        <v>15</v>
      </c>
    </row>
    <row r="152" spans="1:141" ht="30.75" customHeight="1">
      <c r="A152" s="159"/>
      <c r="B152" s="159"/>
      <c r="C152" s="159"/>
      <c r="D152" s="159"/>
      <c r="E152" s="160"/>
      <c r="F152" s="69" t="s">
        <v>94</v>
      </c>
      <c r="G152" s="75">
        <f aca="true" t="shared" si="188" ref="G152:N152">IF(G151=0,"",завтракл*G151/1000)</f>
      </c>
      <c r="H152" s="23">
        <f t="shared" si="188"/>
      </c>
      <c r="I152" s="23">
        <f t="shared" si="188"/>
      </c>
      <c r="J152" s="23">
        <f t="shared" si="188"/>
      </c>
      <c r="K152" s="23">
        <f t="shared" si="188"/>
      </c>
      <c r="L152" s="23"/>
      <c r="M152" s="23">
        <f t="shared" si="188"/>
      </c>
      <c r="N152" s="86">
        <f t="shared" si="188"/>
      </c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/>
      <c r="S152" s="23">
        <f t="shared" si="189"/>
      </c>
      <c r="T152" s="23">
        <f t="shared" si="189"/>
      </c>
      <c r="U152" s="23">
        <f t="shared" si="189"/>
      </c>
      <c r="V152" s="23">
        <f t="shared" si="189"/>
      </c>
      <c r="W152" s="23">
        <f>IF(W151=0,"",полдникл*W151/1000)</f>
      </c>
      <c r="X152" s="23">
        <f>IF(X151=0,"",полдникл*X151/1000)</f>
      </c>
      <c r="Y152" s="86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>
        <f t="shared" si="190"/>
      </c>
      <c r="AD152" s="23"/>
      <c r="AE152" s="23">
        <f t="shared" si="190"/>
      </c>
      <c r="AF152" s="23">
        <f t="shared" si="190"/>
      </c>
      <c r="AG152" s="86">
        <f t="shared" si="190"/>
      </c>
      <c r="AH152" s="113"/>
      <c r="AI152" s="179"/>
      <c r="AJ152" s="121"/>
      <c r="AK152" s="121"/>
      <c r="AL152" s="121"/>
      <c r="AM152" s="176"/>
      <c r="AN152" s="116"/>
      <c r="AP152">
        <v>149</v>
      </c>
      <c r="AQ152" s="60" t="s">
        <v>210</v>
      </c>
      <c r="BA152">
        <v>1.7</v>
      </c>
      <c r="BC152">
        <v>3.8</v>
      </c>
      <c r="CH152">
        <v>37.5</v>
      </c>
      <c r="DE152" s="60">
        <v>50</v>
      </c>
      <c r="DO152">
        <v>20.6</v>
      </c>
      <c r="EK152">
        <v>1.4</v>
      </c>
    </row>
    <row r="153" spans="1:109" ht="30.75" customHeight="1">
      <c r="A153" s="153" t="s">
        <v>125</v>
      </c>
      <c r="B153" s="153"/>
      <c r="C153" s="153"/>
      <c r="D153" s="153"/>
      <c r="E153" s="154"/>
      <c r="F153" s="68" t="s">
        <v>93</v>
      </c>
      <c r="G153" s="76">
        <f>VLOOKUP(завтрак1,таб,56,FALSE)</f>
        <v>0</v>
      </c>
      <c r="H153" s="30">
        <f>VLOOKUP(завтрак2,таб,56,FALSE)</f>
        <v>0</v>
      </c>
      <c r="I153" s="30">
        <f>VLOOKUP(завтрак3,таб,56,FALSE)</f>
        <v>0</v>
      </c>
      <c r="J153" s="30">
        <f>VLOOKUP(завтрак4,таб,56,FALSE)</f>
        <v>0</v>
      </c>
      <c r="K153" s="30">
        <f>VLOOKUP(завтрак5,таб,56,FALSE)</f>
        <v>0</v>
      </c>
      <c r="L153" s="30"/>
      <c r="M153" s="27">
        <f>VLOOKUP(завтрак7,таб,56,FALSE)</f>
        <v>0</v>
      </c>
      <c r="N153" s="84"/>
      <c r="O153" s="38">
        <f>VLOOKUP(обед1,таб,56,FALSE)</f>
        <v>0</v>
      </c>
      <c r="P153" s="37">
        <f>VLOOKUP(обед2,таб,56,FALSE)</f>
        <v>0</v>
      </c>
      <c r="Q153" s="36">
        <f>VLOOKUP(обед3,таб,56,FALSE)</f>
        <v>0</v>
      </c>
      <c r="R153" s="37"/>
      <c r="S153" s="36">
        <f>VLOOKUP(обед5,таб,56,FALSE)</f>
        <v>0</v>
      </c>
      <c r="T153" s="37">
        <f>VLOOKUP(обед6,таб,56,FALSE)</f>
        <v>0</v>
      </c>
      <c r="U153" s="36">
        <f>VLOOKUP(обед7,таб,56,FALSE)</f>
        <v>0</v>
      </c>
      <c r="V153" s="37">
        <f>VLOOKUP(обед8,таб,56,FALSE)</f>
        <v>0</v>
      </c>
      <c r="W153" s="37">
        <f>VLOOKUP(полдник1,таб,56,FALSE)</f>
        <v>0</v>
      </c>
      <c r="X153" s="37">
        <f>VLOOKUP(полдник2,таб,56,FALSE)</f>
        <v>0</v>
      </c>
      <c r="Y153" s="91">
        <f>VLOOKUP(полдник3,таб,56,FALSE)</f>
        <v>0</v>
      </c>
      <c r="Z153" s="38">
        <f>VLOOKUP(ужин1,таб,56,FALSE)</f>
        <v>0</v>
      </c>
      <c r="AA153" s="36">
        <f>VLOOKUP(ужин2,таб,56,FALSE)</f>
        <v>0</v>
      </c>
      <c r="AB153" s="37">
        <f>VLOOKUP(ужин3,таб,56,FALSE)</f>
        <v>0</v>
      </c>
      <c r="AC153" s="36">
        <f>VLOOKUP(ужин4,таб,56,FALSE)</f>
        <v>0</v>
      </c>
      <c r="AD153" s="37"/>
      <c r="AE153" s="36">
        <f>VLOOKUP(ужин6,таб,56,FALSE)</f>
        <v>0</v>
      </c>
      <c r="AF153" s="37">
        <f>VLOOKUP(ужин7,таб,56,FALSE)</f>
        <v>0</v>
      </c>
      <c r="AG153" s="91">
        <f>VLOOKUP(ужин8,таб,56,FALSE)</f>
        <v>0</v>
      </c>
      <c r="AH153" s="112"/>
      <c r="AI153" s="122">
        <f>AK153/сред</f>
        <v>0</v>
      </c>
      <c r="AJ153" s="123"/>
      <c r="AK153" s="114">
        <f>SUM(G154:AG154)</f>
        <v>0</v>
      </c>
      <c r="AL153" s="114"/>
      <c r="AM153" s="175">
        <f>IF(AK153=0,0,CT117)</f>
        <v>0</v>
      </c>
      <c r="AN153" s="115">
        <f>AK153*AM153</f>
        <v>0</v>
      </c>
      <c r="AP153">
        <v>150</v>
      </c>
      <c r="AQ153" s="60" t="s">
        <v>213</v>
      </c>
      <c r="BA153">
        <v>1.7</v>
      </c>
      <c r="BC153">
        <v>3.8</v>
      </c>
      <c r="BV153">
        <v>11.8</v>
      </c>
      <c r="CF153">
        <v>22.5</v>
      </c>
      <c r="CH153">
        <v>31.3</v>
      </c>
      <c r="DE153" s="60">
        <v>50</v>
      </c>
    </row>
    <row r="154" spans="1:143" ht="30.75" customHeight="1">
      <c r="A154" s="157"/>
      <c r="B154" s="157"/>
      <c r="C154" s="157"/>
      <c r="D154" s="157"/>
      <c r="E154" s="158"/>
      <c r="F154" s="69" t="s">
        <v>94</v>
      </c>
      <c r="G154" s="77">
        <f aca="true" t="shared" si="191" ref="G154:M154">IF(G153=0,"",завтракл*G153/1000)</f>
      </c>
      <c r="H154" s="44">
        <f t="shared" si="191"/>
      </c>
      <c r="I154" s="44">
        <f t="shared" si="191"/>
      </c>
      <c r="J154" s="44">
        <f t="shared" si="191"/>
      </c>
      <c r="K154" s="44">
        <f t="shared" si="191"/>
      </c>
      <c r="L154" s="44"/>
      <c r="M154" s="44">
        <f t="shared" si="191"/>
      </c>
      <c r="N154" s="88"/>
      <c r="O154" s="49">
        <f aca="true" t="shared" si="192" ref="O154:V154">IF(O153=0,"",обідл*O153/1000)</f>
      </c>
      <c r="P154" s="44">
        <f t="shared" si="192"/>
      </c>
      <c r="Q154" s="44">
        <f t="shared" si="192"/>
      </c>
      <c r="R154" s="44"/>
      <c r="S154" s="44">
        <f t="shared" si="192"/>
      </c>
      <c r="T154" s="44">
        <f t="shared" si="192"/>
      </c>
      <c r="U154" s="44">
        <f t="shared" si="192"/>
      </c>
      <c r="V154" s="44">
        <f t="shared" si="192"/>
      </c>
      <c r="W154" s="44">
        <f>IF(W153=0,"",полдникл*W153/1000)</f>
      </c>
      <c r="X154" s="44">
        <f>IF(X153=0,"",полдникл*X153/1000)</f>
      </c>
      <c r="Y154" s="88">
        <f>IF(Y153=0,"",полдникл*Y153/1000)</f>
      </c>
      <c r="Z154" s="49">
        <f aca="true" t="shared" si="193" ref="Z154:AG154">IF(Z153=0,"",ужинл*Z153/1000)</f>
      </c>
      <c r="AA154" s="44">
        <f t="shared" si="193"/>
      </c>
      <c r="AB154" s="44">
        <f t="shared" si="193"/>
      </c>
      <c r="AC154" s="44">
        <f t="shared" si="193"/>
      </c>
      <c r="AD154" s="44"/>
      <c r="AE154" s="44">
        <f t="shared" si="193"/>
      </c>
      <c r="AF154" s="44">
        <f t="shared" si="193"/>
      </c>
      <c r="AG154" s="88">
        <f t="shared" si="193"/>
      </c>
      <c r="AH154" s="113"/>
      <c r="AI154" s="122"/>
      <c r="AJ154" s="123"/>
      <c r="AK154" s="114"/>
      <c r="AL154" s="114"/>
      <c r="AM154" s="176"/>
      <c r="AN154" s="116"/>
      <c r="AP154">
        <v>151</v>
      </c>
      <c r="AQ154" s="60" t="s">
        <v>214</v>
      </c>
      <c r="BA154">
        <v>0.3</v>
      </c>
      <c r="BC154">
        <v>1.5</v>
      </c>
      <c r="DE154" s="60">
        <v>50</v>
      </c>
      <c r="EL154">
        <v>12.5</v>
      </c>
      <c r="EM154">
        <v>1.9</v>
      </c>
    </row>
    <row r="155" spans="1:144" ht="30.75" customHeight="1">
      <c r="A155" s="128" t="s">
        <v>118</v>
      </c>
      <c r="B155" s="128"/>
      <c r="C155" s="128"/>
      <c r="D155" s="128"/>
      <c r="E155" s="129"/>
      <c r="F155" s="68" t="s">
        <v>93</v>
      </c>
      <c r="G155" s="74">
        <f>VLOOKUP(завтрак1,таб,57,FALSE)</f>
        <v>0</v>
      </c>
      <c r="H155" s="27">
        <f>VLOOKUP(завтрак2,таб,57,FALSE)</f>
        <v>0</v>
      </c>
      <c r="I155" s="27">
        <f>VLOOKUP(завтрак3,таб,57,FALSE)</f>
        <v>0</v>
      </c>
      <c r="J155" s="27">
        <f>VLOOKUP(завтрак4,таб,57,FALSE)</f>
        <v>0</v>
      </c>
      <c r="K155" s="27">
        <f>VLOOKUP(завтрак5,таб,57,FALSE)</f>
        <v>0</v>
      </c>
      <c r="L155" s="27"/>
      <c r="M155" s="27">
        <f>VLOOKUP(завтрак7,таб,57,FALSE)</f>
        <v>0</v>
      </c>
      <c r="N155" s="84"/>
      <c r="O155" s="35">
        <f>VLOOKUP(обед1,таб,57,FALSE)</f>
        <v>0</v>
      </c>
      <c r="P155" s="34">
        <f>VLOOKUP(обед2,таб,57,FALSE)</f>
        <v>0</v>
      </c>
      <c r="Q155" s="33">
        <f>VLOOKUP(обед3,таб,57,FALSE)</f>
        <v>0</v>
      </c>
      <c r="R155" s="34"/>
      <c r="S155" s="33">
        <f>VLOOKUP(обед5,таб,57,FALSE)</f>
        <v>0</v>
      </c>
      <c r="T155" s="34">
        <f>VLOOKUP(обед6,таб,57,FALSE)</f>
        <v>0</v>
      </c>
      <c r="U155" s="33">
        <f>VLOOKUP(обед7,таб,57,FALSE)</f>
        <v>0</v>
      </c>
      <c r="V155" s="34">
        <f>VLOOKUP(обед8,таб,57,FALSE)</f>
        <v>0</v>
      </c>
      <c r="W155" s="34">
        <f>VLOOKUP(полдник1,таб,57,FALSE)</f>
        <v>0</v>
      </c>
      <c r="X155" s="34">
        <f>VLOOKUP(полдник2,таб,57,FALSE)</f>
        <v>0</v>
      </c>
      <c r="Y155" s="90">
        <f>VLOOKUP(полдник3,таб,57,FALSE)</f>
        <v>0</v>
      </c>
      <c r="Z155" s="35">
        <f>VLOOKUP(ужин1,таб,57,FALSE)</f>
        <v>0</v>
      </c>
      <c r="AA155" s="33">
        <f>VLOOKUP(ужин2,таб,57,FALSE)</f>
        <v>0</v>
      </c>
      <c r="AB155" s="34">
        <f>VLOOKUP(ужин3,таб,57,FALSE)</f>
        <v>0</v>
      </c>
      <c r="AC155" s="33">
        <f>VLOOKUP(ужин4,таб,57,FALSE)</f>
        <v>0</v>
      </c>
      <c r="AD155" s="34"/>
      <c r="AE155" s="33">
        <f>VLOOKUP(ужин6,таб,57,FALSE)</f>
        <v>0</v>
      </c>
      <c r="AF155" s="34">
        <f>VLOOKUP(ужин7,таб,57,FALSE)</f>
        <v>0</v>
      </c>
      <c r="AG155" s="90">
        <f>VLOOKUP(ужин8,таб,57,FALSE)</f>
        <v>0</v>
      </c>
      <c r="AH155" s="112"/>
      <c r="AI155" s="122">
        <f>AK155/сред</f>
        <v>0</v>
      </c>
      <c r="AJ155" s="123"/>
      <c r="AK155" s="114">
        <f>SUM(G156:AG156)</f>
        <v>0</v>
      </c>
      <c r="AL155" s="114"/>
      <c r="AM155" s="175">
        <f>IF(AK155=0,0,CU117)</f>
        <v>0</v>
      </c>
      <c r="AN155" s="115">
        <f>AK155*AM155</f>
        <v>0</v>
      </c>
      <c r="AP155">
        <v>152</v>
      </c>
      <c r="AQ155" s="60" t="s">
        <v>217</v>
      </c>
      <c r="BA155">
        <v>1.7</v>
      </c>
      <c r="BC155">
        <v>1.5</v>
      </c>
      <c r="CH155">
        <v>43.8</v>
      </c>
      <c r="DE155" s="60">
        <v>50</v>
      </c>
      <c r="DO155">
        <v>15.6</v>
      </c>
      <c r="EN155">
        <v>1</v>
      </c>
    </row>
    <row r="156" spans="1:146" ht="30.75" customHeight="1">
      <c r="A156" s="128"/>
      <c r="B156" s="128"/>
      <c r="C156" s="128"/>
      <c r="D156" s="128"/>
      <c r="E156" s="129"/>
      <c r="F156" s="69" t="s">
        <v>94</v>
      </c>
      <c r="G156" s="75">
        <f aca="true" t="shared" si="194" ref="G156:M156">IF(G155=0,"",завтракл*G155/1000)</f>
      </c>
      <c r="H156" s="45">
        <f t="shared" si="194"/>
      </c>
      <c r="I156" s="45">
        <f t="shared" si="194"/>
      </c>
      <c r="J156" s="45">
        <f t="shared" si="194"/>
      </c>
      <c r="K156" s="45">
        <f t="shared" si="194"/>
      </c>
      <c r="L156" s="45"/>
      <c r="M156" s="45">
        <f t="shared" si="194"/>
      </c>
      <c r="N156" s="85"/>
      <c r="O156" s="47">
        <f aca="true" t="shared" si="195" ref="O156:V156">IF(O155=0,"",обідл*O155/1000)</f>
      </c>
      <c r="P156" s="45">
        <f t="shared" si="195"/>
      </c>
      <c r="Q156" s="45">
        <f t="shared" si="195"/>
      </c>
      <c r="R156" s="45"/>
      <c r="S156" s="45">
        <f t="shared" si="195"/>
      </c>
      <c r="T156" s="45">
        <f t="shared" si="195"/>
      </c>
      <c r="U156" s="45">
        <f t="shared" si="195"/>
      </c>
      <c r="V156" s="45">
        <f t="shared" si="195"/>
      </c>
      <c r="W156" s="45">
        <f>IF(W155=0,"",полдникл*W155/1000)</f>
      </c>
      <c r="X156" s="45">
        <f>IF(X155=0,"",полдникл*X155/1000)</f>
      </c>
      <c r="Y156" s="85">
        <f>IF(Y155=0,"",полдникл*Y155/1000)</f>
      </c>
      <c r="Z156" s="47">
        <f aca="true" t="shared" si="196" ref="Z156:AG156">IF(Z155=0,"",ужинл*Z155/1000)</f>
      </c>
      <c r="AA156" s="45">
        <f t="shared" si="196"/>
      </c>
      <c r="AB156" s="45">
        <f t="shared" si="196"/>
      </c>
      <c r="AC156" s="45">
        <f t="shared" si="196"/>
      </c>
      <c r="AD156" s="45"/>
      <c r="AE156" s="45">
        <f t="shared" si="196"/>
      </c>
      <c r="AF156" s="45">
        <f t="shared" si="196"/>
      </c>
      <c r="AG156" s="85">
        <f t="shared" si="196"/>
      </c>
      <c r="AH156" s="113"/>
      <c r="AI156" s="122"/>
      <c r="AJ156" s="123"/>
      <c r="AK156" s="114"/>
      <c r="AL156" s="114"/>
      <c r="AM156" s="176"/>
      <c r="AN156" s="116"/>
      <c r="AP156">
        <v>153</v>
      </c>
      <c r="AQ156" s="60" t="s">
        <v>219</v>
      </c>
      <c r="BC156">
        <v>1.5</v>
      </c>
      <c r="BH156">
        <v>36</v>
      </c>
      <c r="DE156" s="60">
        <v>50</v>
      </c>
      <c r="DN156">
        <v>13.3</v>
      </c>
      <c r="EK156">
        <v>2</v>
      </c>
      <c r="EM156">
        <v>1.9</v>
      </c>
      <c r="EO156">
        <v>0.2</v>
      </c>
      <c r="EP156">
        <v>0.1</v>
      </c>
    </row>
    <row r="157" spans="1:145" ht="25.5">
      <c r="A157" s="153" t="s">
        <v>459</v>
      </c>
      <c r="B157" s="153"/>
      <c r="C157" s="153"/>
      <c r="D157" s="153"/>
      <c r="E157" s="154"/>
      <c r="F157" s="68" t="s">
        <v>93</v>
      </c>
      <c r="G157" s="76">
        <f>VLOOKUP(завтрак1,таб,58,FALSE)</f>
        <v>0</v>
      </c>
      <c r="H157" s="36">
        <f>VLOOKUP(завтрак2,таб,58,FALSE)</f>
        <v>0</v>
      </c>
      <c r="I157" s="37">
        <f>VLOOKUP(завтрак3,таб,58,FALSE)</f>
        <v>0</v>
      </c>
      <c r="J157" s="36">
        <f>VLOOKUP(завтрак4,таб,58,FALSE)</f>
        <v>0</v>
      </c>
      <c r="K157" s="37">
        <f>VLOOKUP(завтрак5,таб,58,FALSE)</f>
        <v>0</v>
      </c>
      <c r="L157" s="37"/>
      <c r="M157" s="27">
        <f>VLOOKUP(завтрак7,таб,58,FALSE)</f>
        <v>0</v>
      </c>
      <c r="N157" s="84"/>
      <c r="O157" s="38">
        <f>VLOOKUP(обед1,таб,58,FALSE)</f>
        <v>0</v>
      </c>
      <c r="P157" s="37">
        <f>VLOOKUP(обед2,таб,58,FALSE)</f>
        <v>0</v>
      </c>
      <c r="Q157" s="36">
        <f>VLOOKUP(обед3,таб,58,FALSE)</f>
        <v>0</v>
      </c>
      <c r="R157" s="37"/>
      <c r="S157" s="36">
        <f>VLOOKUP(обед5,таб,58,FALSE)</f>
        <v>0</v>
      </c>
      <c r="T157" s="37">
        <f>VLOOKUP(обед6,таб,58,FALSE)</f>
        <v>0</v>
      </c>
      <c r="U157" s="36">
        <f>VLOOKUP(обед7,таб,58,FALSE)</f>
        <v>0</v>
      </c>
      <c r="V157" s="37">
        <f>VLOOKUP(обед8,таб,58,FALSE)</f>
        <v>0</v>
      </c>
      <c r="W157" s="37">
        <f>VLOOKUP(полдник1,таб,58,FALSE)</f>
        <v>0</v>
      </c>
      <c r="X157" s="37">
        <f>VLOOKUP(полдник2,таб,58,FALSE)</f>
        <v>0</v>
      </c>
      <c r="Y157" s="91">
        <f>VLOOKUP(полдник3,таб,58,FALSE)</f>
        <v>0</v>
      </c>
      <c r="Z157" s="38">
        <f>VLOOKUP(ужин1,таб,58,FALSE)</f>
        <v>0</v>
      </c>
      <c r="AA157" s="36">
        <f>VLOOKUP(ужин2,таб,58,FALSE)</f>
        <v>0</v>
      </c>
      <c r="AB157" s="37">
        <f>VLOOKUP(ужин3,таб,58,FALSE)</f>
        <v>0</v>
      </c>
      <c r="AC157" s="36"/>
      <c r="AD157" s="37"/>
      <c r="AE157" s="36"/>
      <c r="AF157" s="37">
        <f>VLOOKUP(ужин7,таб,58,FALSE)</f>
        <v>0</v>
      </c>
      <c r="AG157" s="91">
        <f>VLOOKUP(ужин8,таб,58,FALSE)</f>
        <v>0</v>
      </c>
      <c r="AH157" s="112">
        <v>616015</v>
      </c>
      <c r="AI157" s="122">
        <f>AK157/сред</f>
        <v>0</v>
      </c>
      <c r="AJ157" s="123"/>
      <c r="AK157" s="114">
        <f>SUM(G158:AG158)</f>
        <v>0</v>
      </c>
      <c r="AL157" s="114"/>
      <c r="AM157" s="175"/>
      <c r="AN157" s="115">
        <f>AK157*AM157</f>
        <v>0</v>
      </c>
      <c r="AP157">
        <v>154</v>
      </c>
      <c r="AQ157" s="60" t="s">
        <v>222</v>
      </c>
      <c r="BC157">
        <v>1.5</v>
      </c>
      <c r="BI157">
        <v>15.5</v>
      </c>
      <c r="CN157">
        <v>33.5</v>
      </c>
      <c r="DE157" s="60">
        <v>50</v>
      </c>
      <c r="EK157">
        <v>6.8</v>
      </c>
      <c r="EO157">
        <v>0.3</v>
      </c>
    </row>
    <row r="158" spans="1:141" ht="30.75" customHeight="1">
      <c r="A158" s="157"/>
      <c r="B158" s="157"/>
      <c r="C158" s="157"/>
      <c r="D158" s="157"/>
      <c r="E158" s="158"/>
      <c r="F158" s="65" t="s">
        <v>94</v>
      </c>
      <c r="G158" s="77">
        <f aca="true" t="shared" si="197" ref="G158:M158">IF(G157=0,"",завтракл*G157/1000)</f>
      </c>
      <c r="H158" s="48">
        <f t="shared" si="197"/>
      </c>
      <c r="I158" s="44">
        <f t="shared" si="197"/>
      </c>
      <c r="J158" s="48">
        <f t="shared" si="197"/>
      </c>
      <c r="K158" s="44">
        <f t="shared" si="197"/>
      </c>
      <c r="L158" s="44"/>
      <c r="M158" s="45">
        <f t="shared" si="197"/>
      </c>
      <c r="N158" s="85"/>
      <c r="O158" s="49">
        <f aca="true" t="shared" si="198" ref="O158:V158">IF(O157=0,"",обідл*O157/1000)</f>
      </c>
      <c r="P158" s="44">
        <f t="shared" si="198"/>
      </c>
      <c r="Q158" s="48">
        <f t="shared" si="198"/>
      </c>
      <c r="R158" s="44"/>
      <c r="S158" s="48">
        <f t="shared" si="198"/>
      </c>
      <c r="T158" s="44">
        <f t="shared" si="198"/>
      </c>
      <c r="U158" s="48">
        <f t="shared" si="198"/>
      </c>
      <c r="V158" s="44">
        <f t="shared" si="198"/>
      </c>
      <c r="W158" s="44">
        <f>IF(W157=0,"",полдникл*W157/1000)</f>
      </c>
      <c r="X158" s="44">
        <f>IF(X157=0,"",полдникл*X157/1000)</f>
      </c>
      <c r="Y158" s="88">
        <f>IF(Y157=0,"",полдникл*Y157/1000)</f>
      </c>
      <c r="Z158" s="49">
        <f aca="true" t="shared" si="199" ref="Z158:AG158">IF(Z157=0,"",ужинл*Z157/1000)</f>
      </c>
      <c r="AA158" s="48">
        <f t="shared" si="199"/>
      </c>
      <c r="AB158" s="44">
        <f t="shared" si="199"/>
      </c>
      <c r="AC158" s="48">
        <f t="shared" si="199"/>
      </c>
      <c r="AD158" s="44"/>
      <c r="AE158" s="48">
        <f t="shared" si="199"/>
      </c>
      <c r="AF158" s="44">
        <f t="shared" si="199"/>
      </c>
      <c r="AG158" s="88">
        <f t="shared" si="199"/>
      </c>
      <c r="AH158" s="113"/>
      <c r="AI158" s="122"/>
      <c r="AJ158" s="123"/>
      <c r="AK158" s="114"/>
      <c r="AL158" s="114"/>
      <c r="AM158" s="176"/>
      <c r="AN158" s="116"/>
      <c r="AP158">
        <v>155</v>
      </c>
      <c r="AQ158" s="60" t="s">
        <v>223</v>
      </c>
      <c r="BG158">
        <v>6</v>
      </c>
      <c r="CH158">
        <v>41.9</v>
      </c>
      <c r="DE158" s="60">
        <v>50</v>
      </c>
      <c r="DO158">
        <v>11.8</v>
      </c>
      <c r="EK158">
        <v>1.2</v>
      </c>
    </row>
    <row r="159" spans="1:147" ht="30.75" customHeight="1">
      <c r="A159" s="128" t="s">
        <v>41</v>
      </c>
      <c r="B159" s="128"/>
      <c r="C159" s="128"/>
      <c r="D159" s="128"/>
      <c r="E159" s="129"/>
      <c r="F159" s="68" t="s">
        <v>93</v>
      </c>
      <c r="G159" s="74">
        <f>VLOOKUP(завтрак1,таб,59,FALSE)</f>
        <v>0</v>
      </c>
      <c r="H159" s="33">
        <f>VLOOKUP(завтрак2,таб,59,FALSE)</f>
        <v>0</v>
      </c>
      <c r="I159" s="34">
        <f>VLOOKUP(завтрак3,таб,59,FALSE)</f>
        <v>0</v>
      </c>
      <c r="J159" s="33">
        <v>2.5</v>
      </c>
      <c r="K159" s="34">
        <f>VLOOKUP(завтрак5,таб,59,FALSE)</f>
        <v>0</v>
      </c>
      <c r="L159" s="34"/>
      <c r="M159" s="27">
        <f>VLOOKUP(завтрак7,таб,59,FALSE)</f>
        <v>0</v>
      </c>
      <c r="N159" s="84"/>
      <c r="O159" s="35">
        <f>VLOOKUP(обед1,таб,59,FALSE)</f>
        <v>0</v>
      </c>
      <c r="P159" s="34">
        <f>VLOOKUP(обед2,таб,59,FALSE)</f>
        <v>0</v>
      </c>
      <c r="Q159" s="33">
        <f>VLOOKUP(обед3,таб,59,FALSE)</f>
        <v>0</v>
      </c>
      <c r="R159" s="34"/>
      <c r="S159" s="33">
        <f>VLOOKUP(обед5,таб,59,FALSE)</f>
        <v>0</v>
      </c>
      <c r="T159" s="34">
        <f>VLOOKUP(обед6,таб,59,FALSE)</f>
        <v>0</v>
      </c>
      <c r="U159" s="33">
        <f>VLOOKUP(обед7,таб,59,FALSE)</f>
        <v>0</v>
      </c>
      <c r="V159" s="34">
        <f>VLOOKUP(обед8,таб,59,FALSE)</f>
        <v>0</v>
      </c>
      <c r="W159" s="34">
        <f>VLOOKUP(полдник1,таб,59,FALSE)</f>
        <v>0</v>
      </c>
      <c r="X159" s="34">
        <f>VLOOKUP(полдник2,таб,59,FALSE)</f>
        <v>0</v>
      </c>
      <c r="Y159" s="90">
        <f>VLOOKUP(полдник3,таб,59,FALSE)</f>
        <v>0</v>
      </c>
      <c r="Z159" s="35">
        <f>VLOOKUP(ужин1,таб,59,FALSE)</f>
        <v>0</v>
      </c>
      <c r="AA159" s="33">
        <f>VLOOKUP(ужин2,таб,59,FALSE)</f>
        <v>0</v>
      </c>
      <c r="AB159" s="34">
        <f>VLOOKUP(ужин3,таб,59,FALSE)</f>
        <v>0</v>
      </c>
      <c r="AC159" s="33">
        <f>VLOOKUP(ужин4,таб,59,FALSE)</f>
        <v>0</v>
      </c>
      <c r="AD159" s="34"/>
      <c r="AE159" s="33">
        <f>VLOOKUP(ужин6,таб,59,FALSE)</f>
        <v>0</v>
      </c>
      <c r="AF159" s="34">
        <f>VLOOKUP(ужин7,таб,59,FALSE)</f>
        <v>0</v>
      </c>
      <c r="AG159" s="90">
        <f>VLOOKUP(ужин8,таб,59,FALSE)</f>
        <v>0</v>
      </c>
      <c r="AH159" s="112"/>
      <c r="AI159" s="122">
        <f>AK159/сред</f>
        <v>0.0026249999999999997</v>
      </c>
      <c r="AJ159" s="123"/>
      <c r="AK159" s="114">
        <f>SUM(G160:AG160)</f>
        <v>0.0525</v>
      </c>
      <c r="AL159" s="114"/>
      <c r="AM159" s="175">
        <v>288</v>
      </c>
      <c r="AN159" s="115">
        <f>AK159*AM159</f>
        <v>15.12</v>
      </c>
      <c r="AP159">
        <v>156</v>
      </c>
      <c r="AQ159" s="60" t="s">
        <v>224</v>
      </c>
      <c r="BE159">
        <v>25</v>
      </c>
      <c r="CC159">
        <v>5</v>
      </c>
      <c r="DE159" s="60">
        <v>100</v>
      </c>
      <c r="EQ159">
        <v>0.5</v>
      </c>
    </row>
    <row r="160" spans="1:109" ht="30.75" customHeight="1">
      <c r="A160" s="128"/>
      <c r="B160" s="128"/>
      <c r="C160" s="128"/>
      <c r="D160" s="128"/>
      <c r="E160" s="129"/>
      <c r="F160" s="65" t="s">
        <v>94</v>
      </c>
      <c r="G160" s="75">
        <f aca="true" t="shared" si="200" ref="G160:M160">IF(G159=0,"",завтракл*G159/1000)</f>
      </c>
      <c r="H160" s="46">
        <f t="shared" si="200"/>
      </c>
      <c r="I160" s="45">
        <f t="shared" si="200"/>
      </c>
      <c r="J160" s="46">
        <f t="shared" si="200"/>
        <v>0.0525</v>
      </c>
      <c r="K160" s="45">
        <f t="shared" si="200"/>
      </c>
      <c r="L160" s="45"/>
      <c r="M160" s="45">
        <f t="shared" si="200"/>
      </c>
      <c r="N160" s="85"/>
      <c r="O160" s="47">
        <f aca="true" t="shared" si="201" ref="O160:V160">IF(O159=0,"",обідл*O159/1000)</f>
      </c>
      <c r="P160" s="45">
        <f t="shared" si="201"/>
      </c>
      <c r="Q160" s="46">
        <f t="shared" si="201"/>
      </c>
      <c r="R160" s="45"/>
      <c r="S160" s="46">
        <f t="shared" si="201"/>
      </c>
      <c r="T160" s="45">
        <f t="shared" si="201"/>
      </c>
      <c r="U160" s="46">
        <f t="shared" si="201"/>
      </c>
      <c r="V160" s="45">
        <f t="shared" si="201"/>
      </c>
      <c r="W160" s="45">
        <f>IF(W159=0,"",полдникл*W159/1000)</f>
      </c>
      <c r="X160" s="45">
        <f>IF(X159=0,"",полдникл*X159/1000)</f>
      </c>
      <c r="Y160" s="85">
        <f>IF(Y159=0,"",полдникл*Y159/1000)</f>
      </c>
      <c r="Z160" s="47">
        <f aca="true" t="shared" si="202" ref="Z160:AG160">IF(Z159=0,"",ужинл*Z159/1000)</f>
      </c>
      <c r="AA160" s="46">
        <f t="shared" si="202"/>
      </c>
      <c r="AB160" s="45">
        <f t="shared" si="202"/>
      </c>
      <c r="AC160" s="46">
        <f t="shared" si="202"/>
      </c>
      <c r="AD160" s="45"/>
      <c r="AE160" s="46">
        <f t="shared" si="202"/>
      </c>
      <c r="AF160" s="45">
        <f t="shared" si="202"/>
      </c>
      <c r="AG160" s="85">
        <f t="shared" si="202"/>
      </c>
      <c r="AH160" s="113"/>
      <c r="AI160" s="122"/>
      <c r="AJ160" s="123"/>
      <c r="AK160" s="114"/>
      <c r="AL160" s="114"/>
      <c r="AM160" s="176"/>
      <c r="AN160" s="116"/>
      <c r="AP160">
        <v>157</v>
      </c>
      <c r="AQ160" s="60" t="s">
        <v>226</v>
      </c>
      <c r="BE160">
        <v>24</v>
      </c>
      <c r="BM160">
        <v>4.5</v>
      </c>
      <c r="DE160" s="60">
        <v>100</v>
      </c>
    </row>
    <row r="161" spans="1:109" ht="30.75" customHeight="1">
      <c r="A161" s="153" t="s">
        <v>2</v>
      </c>
      <c r="B161" s="153"/>
      <c r="C161" s="153"/>
      <c r="D161" s="153"/>
      <c r="E161" s="154"/>
      <c r="F161" s="68" t="s">
        <v>93</v>
      </c>
      <c r="G161" s="76">
        <f>VLOOKUP(завтрак1,таб,60,FALSE)</f>
        <v>0</v>
      </c>
      <c r="H161" s="36">
        <f>VLOOKUP(завтрак2,таб,60,FALSE)</f>
        <v>0</v>
      </c>
      <c r="I161" s="37">
        <f>VLOOKUP(завтрак3,таб,60,FALSE)</f>
        <v>0</v>
      </c>
      <c r="J161" s="36">
        <f>VLOOKUP(завтрак4,таб,60,FALSE)</f>
        <v>0</v>
      </c>
      <c r="K161" s="37">
        <f>VLOOKUP(завтрак5,таб,60,FALSE)</f>
        <v>0</v>
      </c>
      <c r="L161" s="37"/>
      <c r="M161" s="27">
        <f>VLOOKUP(завтрак7,таб,60,FALSE)</f>
        <v>0</v>
      </c>
      <c r="N161" s="84"/>
      <c r="O161" s="38">
        <f>VLOOKUP(обед1,таб,60,FALSE)</f>
        <v>0</v>
      </c>
      <c r="P161" s="37">
        <f>VLOOKUP(обед2,таб,60,FALSE)</f>
        <v>0</v>
      </c>
      <c r="Q161" s="36">
        <f>VLOOKUP(обед3,таб,60,FALSE)</f>
        <v>0</v>
      </c>
      <c r="R161" s="37"/>
      <c r="S161" s="36">
        <f>VLOOKUP(обед5,таб,60,FALSE)</f>
        <v>0</v>
      </c>
      <c r="T161" s="37">
        <f>VLOOKUP(обед6,таб,60,FALSE)</f>
        <v>0</v>
      </c>
      <c r="U161" s="36">
        <f>VLOOKUP(обед7,таб,60,FALSE)</f>
        <v>0</v>
      </c>
      <c r="V161" s="37">
        <f>VLOOKUP(обед8,таб,60,FALSE)</f>
        <v>0</v>
      </c>
      <c r="W161" s="37">
        <f>VLOOKUP(полдник1,таб,60,FALSE)</f>
        <v>0</v>
      </c>
      <c r="X161" s="37">
        <f>VLOOKUP(полдник2,таб,60,FALSE)</f>
        <v>0</v>
      </c>
      <c r="Y161" s="91">
        <f>VLOOKUP(полдник3,таб,60,FALSE)</f>
        <v>0</v>
      </c>
      <c r="Z161" s="38">
        <f>VLOOKUP(ужин1,таб,60,FALSE)</f>
        <v>0</v>
      </c>
      <c r="AA161" s="36">
        <f>VLOOKUP(ужин2,таб,60,FALSE)</f>
        <v>0</v>
      </c>
      <c r="AB161" s="37">
        <f>VLOOKUP(ужин3,таб,60,FALSE)</f>
        <v>0</v>
      </c>
      <c r="AC161" s="36">
        <v>0.6</v>
      </c>
      <c r="AD161" s="37"/>
      <c r="AE161" s="36">
        <f>VLOOKUP(ужин6,таб,60,FALSE)</f>
        <v>0</v>
      </c>
      <c r="AF161" s="37">
        <f>VLOOKUP(ужин7,таб,60,FALSE)</f>
        <v>0</v>
      </c>
      <c r="AG161" s="91">
        <f>VLOOKUP(ужин8,таб,60,FALSE)</f>
        <v>0</v>
      </c>
      <c r="AH161" s="112">
        <v>616022</v>
      </c>
      <c r="AI161" s="122">
        <f>AK161/сред</f>
        <v>0.0005399999999999999</v>
      </c>
      <c r="AJ161" s="123"/>
      <c r="AK161" s="114">
        <f>SUM(G162:AG162)</f>
        <v>0.010799999999999999</v>
      </c>
      <c r="AL161" s="114"/>
      <c r="AM161" s="175">
        <v>452</v>
      </c>
      <c r="AN161" s="115">
        <f>AK161*AM161</f>
        <v>4.8816</v>
      </c>
      <c r="AP161">
        <v>158</v>
      </c>
      <c r="AQ161" s="60" t="s">
        <v>227</v>
      </c>
      <c r="CB161">
        <v>15</v>
      </c>
      <c r="DE161" s="60">
        <v>100</v>
      </c>
    </row>
    <row r="162" spans="1:148" ht="30.75" customHeight="1">
      <c r="A162" s="157"/>
      <c r="B162" s="157"/>
      <c r="C162" s="157"/>
      <c r="D162" s="157"/>
      <c r="E162" s="158"/>
      <c r="F162" s="65" t="s">
        <v>94</v>
      </c>
      <c r="G162" s="77">
        <f aca="true" t="shared" si="203" ref="G162:M162">IF(G161=0,"",завтракл*G161/1000)</f>
      </c>
      <c r="H162" s="48">
        <f t="shared" si="203"/>
      </c>
      <c r="I162" s="44">
        <f t="shared" si="203"/>
      </c>
      <c r="J162" s="48">
        <f t="shared" si="203"/>
      </c>
      <c r="K162" s="44">
        <f t="shared" si="203"/>
      </c>
      <c r="L162" s="44"/>
      <c r="M162" s="45">
        <f t="shared" si="203"/>
      </c>
      <c r="N162" s="85"/>
      <c r="O162" s="49">
        <f aca="true" t="shared" si="204" ref="O162:V162">IF(O161=0,"",обідл*O161/1000)</f>
      </c>
      <c r="P162" s="44">
        <f t="shared" si="204"/>
      </c>
      <c r="Q162" s="48">
        <f t="shared" si="204"/>
      </c>
      <c r="R162" s="44"/>
      <c r="S162" s="48">
        <f t="shared" si="204"/>
      </c>
      <c r="T162" s="44">
        <f t="shared" si="204"/>
      </c>
      <c r="U162" s="48">
        <f t="shared" si="204"/>
      </c>
      <c r="V162" s="44">
        <f t="shared" si="204"/>
      </c>
      <c r="W162" s="44">
        <f>IF(W161=0,"",полдникл*W161/1000)</f>
      </c>
      <c r="X162" s="44">
        <f>IF(X161=0,"",полдникл*X161/1000)</f>
      </c>
      <c r="Y162" s="88">
        <f>IF(Y161=0,"",полдникл*Y161/1000)</f>
      </c>
      <c r="Z162" s="49">
        <f aca="true" t="shared" si="205" ref="Z162:AG162">IF(Z161=0,"",ужинл*Z161/1000)</f>
      </c>
      <c r="AA162" s="48">
        <f t="shared" si="205"/>
      </c>
      <c r="AB162" s="44">
        <f t="shared" si="205"/>
      </c>
      <c r="AC162" s="48">
        <f t="shared" si="205"/>
        <v>0.010799999999999999</v>
      </c>
      <c r="AD162" s="44"/>
      <c r="AE162" s="48">
        <f t="shared" si="205"/>
      </c>
      <c r="AF162" s="44">
        <f t="shared" si="205"/>
      </c>
      <c r="AG162" s="88">
        <f t="shared" si="205"/>
      </c>
      <c r="AH162" s="113"/>
      <c r="AI162" s="122"/>
      <c r="AJ162" s="123"/>
      <c r="AK162" s="114"/>
      <c r="AL162" s="114"/>
      <c r="AM162" s="176"/>
      <c r="AN162" s="116"/>
      <c r="AP162">
        <v>159</v>
      </c>
      <c r="AQ162" s="60" t="s">
        <v>228</v>
      </c>
      <c r="DE162" s="60">
        <v>100</v>
      </c>
      <c r="ER162">
        <v>10</v>
      </c>
    </row>
    <row r="163" spans="1:109" ht="30.75" customHeight="1">
      <c r="A163" s="128" t="s">
        <v>42</v>
      </c>
      <c r="B163" s="128"/>
      <c r="C163" s="128"/>
      <c r="D163" s="128"/>
      <c r="E163" s="129"/>
      <c r="F163" s="68" t="s">
        <v>93</v>
      </c>
      <c r="G163" s="74">
        <f>VLOOKUP(завтрак1,таб,61,FALSE)</f>
        <v>0</v>
      </c>
      <c r="H163" s="33">
        <f>VLOOKUP(завтрак2,таб,61,FALSE)</f>
        <v>0</v>
      </c>
      <c r="I163" s="34">
        <f>VLOOKUP(завтрак3,таб,61,FALSE)</f>
        <v>0</v>
      </c>
      <c r="J163" s="33">
        <f>VLOOKUP(завтрак4,таб,61,FALSE)</f>
        <v>0</v>
      </c>
      <c r="K163" s="34">
        <f>VLOOKUP(завтрак5,таб,61,FALSE)</f>
        <v>0</v>
      </c>
      <c r="L163" s="34"/>
      <c r="M163" s="27">
        <f>VLOOKUP(завтрак7,таб,61,FALSE)</f>
        <v>0</v>
      </c>
      <c r="N163" s="84"/>
      <c r="O163" s="35">
        <f>VLOOKUP(обед1,таб,61,FALSE)</f>
        <v>0</v>
      </c>
      <c r="P163" s="34">
        <f>VLOOKUP(обед2,таб,61,FALSE)</f>
        <v>0</v>
      </c>
      <c r="Q163" s="33">
        <f>VLOOKUP(обед3,таб,61,FALSE)</f>
        <v>0</v>
      </c>
      <c r="R163" s="34"/>
      <c r="S163" s="33">
        <f>VLOOKUP(обед5,таб,61,FALSE)</f>
        <v>0</v>
      </c>
      <c r="T163" s="34">
        <f>VLOOKUP(обед6,таб,61,FALSE)</f>
        <v>0</v>
      </c>
      <c r="U163" s="33">
        <f>VLOOKUP(обед7,таб,61,FALSE)</f>
        <v>0</v>
      </c>
      <c r="V163" s="34">
        <f>VLOOKUP(обед8,таб,61,FALSE)</f>
        <v>0</v>
      </c>
      <c r="W163" s="34">
        <f>VLOOKUP(полдник1,таб,61,FALSE)</f>
        <v>0</v>
      </c>
      <c r="X163" s="34">
        <f>VLOOKUP(полдник2,таб,61,FALSE)</f>
        <v>0</v>
      </c>
      <c r="Y163" s="90">
        <f>VLOOKUP(полдник3,таб,61,FALSE)</f>
        <v>0</v>
      </c>
      <c r="Z163" s="35">
        <f>VLOOKUP(ужин1,таб,61,FALSE)</f>
        <v>0</v>
      </c>
      <c r="AA163" s="33">
        <f>VLOOKUP(ужин2,таб,61,FALSE)</f>
        <v>0</v>
      </c>
      <c r="AB163" s="34">
        <f>VLOOKUP(ужин3,таб,61,FALSE)</f>
        <v>0</v>
      </c>
      <c r="AC163" s="33">
        <f>VLOOKUP(ужин4,таб,61,FALSE)</f>
        <v>0</v>
      </c>
      <c r="AD163" s="34"/>
      <c r="AE163" s="33">
        <f>VLOOKUP(ужин6,таб,61,FALSE)</f>
        <v>0</v>
      </c>
      <c r="AF163" s="34">
        <f>VLOOKUP(ужин7,таб,61,FALSE)</f>
        <v>0</v>
      </c>
      <c r="AG163" s="90">
        <f>VLOOKUP(ужин8,таб,61,FALSE)</f>
        <v>0</v>
      </c>
      <c r="AH163" s="112"/>
      <c r="AI163" s="122">
        <v>0.003</v>
      </c>
      <c r="AJ163" s="123"/>
      <c r="AK163" s="114">
        <f>AI163*сред</f>
        <v>0.06</v>
      </c>
      <c r="AL163" s="114"/>
      <c r="AM163" s="175">
        <v>10.24</v>
      </c>
      <c r="AN163" s="115">
        <f>AK163*AM163</f>
        <v>0.6144</v>
      </c>
      <c r="AP163">
        <v>160</v>
      </c>
      <c r="AQ163" s="60" t="s">
        <v>230</v>
      </c>
      <c r="BD163">
        <v>95</v>
      </c>
      <c r="CW163">
        <v>3</v>
      </c>
      <c r="DE163" s="60">
        <v>100</v>
      </c>
    </row>
    <row r="164" spans="1:152" ht="30.75" customHeight="1">
      <c r="A164" s="128"/>
      <c r="B164" s="128"/>
      <c r="C164" s="128"/>
      <c r="D164" s="128"/>
      <c r="E164" s="129"/>
      <c r="F164" s="65" t="s">
        <v>94</v>
      </c>
      <c r="G164" s="75">
        <f aca="true" t="shared" si="206" ref="G164:M164">IF(G163=0,"",завтракл*G163/1000)</f>
      </c>
      <c r="H164" s="46">
        <f t="shared" si="206"/>
      </c>
      <c r="I164" s="45">
        <f t="shared" si="206"/>
      </c>
      <c r="J164" s="46">
        <f t="shared" si="206"/>
      </c>
      <c r="K164" s="45">
        <f t="shared" si="206"/>
      </c>
      <c r="L164" s="45"/>
      <c r="M164" s="45">
        <f t="shared" si="206"/>
      </c>
      <c r="N164" s="85"/>
      <c r="O164" s="47">
        <f aca="true" t="shared" si="207" ref="O164:V164">IF(O163=0,"",обідл*O163/1000)</f>
      </c>
      <c r="P164" s="45">
        <f t="shared" si="207"/>
      </c>
      <c r="Q164" s="46">
        <f t="shared" si="207"/>
      </c>
      <c r="R164" s="45"/>
      <c r="S164" s="46">
        <f t="shared" si="207"/>
      </c>
      <c r="T164" s="45">
        <f t="shared" si="207"/>
      </c>
      <c r="U164" s="46">
        <f t="shared" si="207"/>
      </c>
      <c r="V164" s="45">
        <f t="shared" si="207"/>
      </c>
      <c r="W164" s="45">
        <f>IF(W163=0,"",полдникл*W163/1000)</f>
      </c>
      <c r="X164" s="45">
        <f>IF(X163=0,"",полдникл*X163/1000)</f>
      </c>
      <c r="Y164" s="85">
        <f>IF(Y163=0,"",полдникл*Y163/1000)</f>
      </c>
      <c r="Z164" s="47">
        <f aca="true" t="shared" si="208" ref="Z164:AG164">IF(Z163=0,"",ужинл*Z163/1000)</f>
      </c>
      <c r="AA164" s="46">
        <f t="shared" si="208"/>
      </c>
      <c r="AB164" s="45">
        <f t="shared" si="208"/>
      </c>
      <c r="AC164" s="46">
        <f t="shared" si="208"/>
      </c>
      <c r="AD164" s="45"/>
      <c r="AE164" s="46">
        <f t="shared" si="208"/>
      </c>
      <c r="AF164" s="45">
        <f t="shared" si="208"/>
      </c>
      <c r="AG164" s="85">
        <f t="shared" si="208"/>
      </c>
      <c r="AH164" s="113"/>
      <c r="AI164" s="122"/>
      <c r="AJ164" s="123"/>
      <c r="AK164" s="114"/>
      <c r="AL164" s="114"/>
      <c r="AM164" s="176"/>
      <c r="AN164" s="116"/>
      <c r="AP164">
        <v>161</v>
      </c>
      <c r="AQ164" s="60" t="s">
        <v>232</v>
      </c>
      <c r="BC164">
        <v>5</v>
      </c>
      <c r="CI164">
        <v>14.5</v>
      </c>
      <c r="CJ164">
        <v>11.3</v>
      </c>
      <c r="DE164" s="60">
        <v>250</v>
      </c>
      <c r="DH164">
        <v>2.5</v>
      </c>
      <c r="EM164">
        <v>1.3</v>
      </c>
      <c r="ET164">
        <v>37.5</v>
      </c>
      <c r="EU164">
        <v>26.3</v>
      </c>
      <c r="EV164">
        <v>0.8</v>
      </c>
    </row>
    <row r="165" spans="1:114" ht="30.75" customHeight="1">
      <c r="A165" s="153" t="s">
        <v>43</v>
      </c>
      <c r="B165" s="153"/>
      <c r="C165" s="153"/>
      <c r="D165" s="153"/>
      <c r="E165" s="154"/>
      <c r="F165" s="68" t="s">
        <v>93</v>
      </c>
      <c r="G165" s="76">
        <f>VLOOKUP(завтрак1,таб,62,FALSE)</f>
        <v>0</v>
      </c>
      <c r="H165" s="36">
        <f>VLOOKUP(завтрак2,таб,62,FALSE)</f>
        <v>0</v>
      </c>
      <c r="I165" s="37">
        <f>VLOOKUP(завтрак3,таб,62,FALSE)</f>
        <v>0</v>
      </c>
      <c r="J165" s="36">
        <f>VLOOKUP(завтрак4,таб,62,FALSE)</f>
        <v>0</v>
      </c>
      <c r="K165" s="37">
        <f>VLOOKUP(завтрак5,таб,62,FALSE)</f>
        <v>0</v>
      </c>
      <c r="L165" s="37"/>
      <c r="M165" s="27">
        <f>VLOOKUP(завтрак7,таб,62,FALSE)</f>
        <v>0</v>
      </c>
      <c r="N165" s="84"/>
      <c r="O165" s="38">
        <f>VLOOKUP(обед1,таб,62,FALSE)</f>
        <v>0</v>
      </c>
      <c r="P165" s="37">
        <f>VLOOKUP(обед2,таб,62,FALSE)</f>
        <v>0</v>
      </c>
      <c r="Q165" s="36">
        <f>VLOOKUP(обед3,таб,62,FALSE)</f>
        <v>0</v>
      </c>
      <c r="R165" s="37"/>
      <c r="S165" s="36">
        <f>VLOOKUP(обед5,таб,62,FALSE)</f>
        <v>0</v>
      </c>
      <c r="T165" s="37">
        <f>VLOOKUP(обед6,таб,62,FALSE)</f>
        <v>0</v>
      </c>
      <c r="U165" s="36">
        <f>VLOOKUP(обед7,таб,62,FALSE)</f>
        <v>0</v>
      </c>
      <c r="V165" s="37">
        <f>VLOOKUP(обед8,таб,62,FALSE)</f>
        <v>0</v>
      </c>
      <c r="W165" s="37">
        <f>VLOOKUP(полдник1,таб,62,FALSE)</f>
        <v>0</v>
      </c>
      <c r="X165" s="37">
        <f>VLOOKUP(полдник2,таб,62,FALSE)</f>
        <v>0</v>
      </c>
      <c r="Y165" s="91">
        <f>VLOOKUP(полдник3,таб,62,FALSE)</f>
        <v>0</v>
      </c>
      <c r="Z165" s="38">
        <f>VLOOKUP(ужин1,таб,62,FALSE)</f>
        <v>0</v>
      </c>
      <c r="AA165" s="36">
        <f>VLOOKUP(ужин2,таб,62,FALSE)</f>
        <v>0</v>
      </c>
      <c r="AB165" s="37"/>
      <c r="AC165" s="36">
        <f>VLOOKUP(ужин4,таб,62,FALSE)</f>
        <v>0</v>
      </c>
      <c r="AD165" s="37"/>
      <c r="AE165" s="36">
        <f>VLOOKUP(ужин6,таб,62,FALSE)</f>
        <v>0</v>
      </c>
      <c r="AF165" s="37">
        <f>VLOOKUP(ужин7,таб,62,FALSE)</f>
        <v>0</v>
      </c>
      <c r="AG165" s="91">
        <f>VLOOKUP(ужин8,таб,62,FALSE)</f>
        <v>0</v>
      </c>
      <c r="AH165" s="112"/>
      <c r="AI165" s="122">
        <f>AK165/сред</f>
        <v>0</v>
      </c>
      <c r="AJ165" s="123"/>
      <c r="AK165" s="114">
        <f>SUM(G166:AG166)</f>
        <v>0</v>
      </c>
      <c r="AL165" s="114"/>
      <c r="AM165" s="175">
        <f>IF(AK165=0,0,CZ117)</f>
        <v>0</v>
      </c>
      <c r="AN165" s="115">
        <f>AK165*AM165</f>
        <v>0</v>
      </c>
      <c r="AP165">
        <v>162</v>
      </c>
      <c r="AQ165" s="60" t="s">
        <v>235</v>
      </c>
      <c r="BC165">
        <v>5</v>
      </c>
      <c r="CG165">
        <v>31.3</v>
      </c>
      <c r="CH165">
        <v>75</v>
      </c>
      <c r="CI165">
        <v>8.7</v>
      </c>
      <c r="CT165">
        <v>19.5</v>
      </c>
      <c r="DA165">
        <v>0.1</v>
      </c>
      <c r="DE165" s="60">
        <v>250</v>
      </c>
      <c r="DJ165">
        <v>11.3</v>
      </c>
    </row>
    <row r="166" spans="1:145" ht="30.75" customHeight="1">
      <c r="A166" s="157"/>
      <c r="B166" s="157"/>
      <c r="C166" s="157"/>
      <c r="D166" s="157"/>
      <c r="E166" s="158"/>
      <c r="F166" s="65" t="s">
        <v>94</v>
      </c>
      <c r="G166" s="77">
        <f aca="true" t="shared" si="209" ref="G166:M166">IF(G165=0,"",завтракл*G165/1000)</f>
      </c>
      <c r="H166" s="48">
        <f t="shared" si="209"/>
      </c>
      <c r="I166" s="44">
        <f t="shared" si="209"/>
      </c>
      <c r="J166" s="48">
        <f t="shared" si="209"/>
      </c>
      <c r="K166" s="44">
        <f t="shared" si="209"/>
      </c>
      <c r="L166" s="44"/>
      <c r="M166" s="45">
        <f t="shared" si="209"/>
      </c>
      <c r="N166" s="85"/>
      <c r="O166" s="49">
        <f aca="true" t="shared" si="210" ref="O166:V166">IF(O165=0,"",обідл*O165/1000)</f>
      </c>
      <c r="P166" s="44">
        <f t="shared" si="210"/>
      </c>
      <c r="Q166" s="48">
        <f t="shared" si="210"/>
      </c>
      <c r="R166" s="44"/>
      <c r="S166" s="48">
        <f t="shared" si="210"/>
      </c>
      <c r="T166" s="44">
        <f t="shared" si="210"/>
      </c>
      <c r="U166" s="48">
        <f t="shared" si="210"/>
      </c>
      <c r="V166" s="44">
        <f t="shared" si="210"/>
      </c>
      <c r="W166" s="44">
        <f>IF(W165=0,"",полдникл*W165/1000)</f>
      </c>
      <c r="X166" s="44">
        <f>IF(X165=0,"",полдникл*X165/1000)</f>
      </c>
      <c r="Y166" s="88">
        <f>IF(Y165=0,"",полдникл*Y165/1000)</f>
      </c>
      <c r="Z166" s="49">
        <f aca="true" t="shared" si="211" ref="Z166:AG166">IF(Z165=0,"",ужинл*Z165/1000)</f>
      </c>
      <c r="AA166" s="48">
        <f t="shared" si="211"/>
      </c>
      <c r="AB166" s="44"/>
      <c r="AC166" s="48">
        <f t="shared" si="211"/>
      </c>
      <c r="AD166" s="44"/>
      <c r="AE166" s="48">
        <f t="shared" si="211"/>
      </c>
      <c r="AF166" s="44">
        <f t="shared" si="211"/>
      </c>
      <c r="AG166" s="88">
        <f t="shared" si="211"/>
      </c>
      <c r="AH166" s="113"/>
      <c r="AI166" s="122"/>
      <c r="AJ166" s="123"/>
      <c r="AK166" s="114"/>
      <c r="AL166" s="114"/>
      <c r="AM166" s="176"/>
      <c r="AN166" s="116"/>
      <c r="AP166">
        <v>163</v>
      </c>
      <c r="AQ166" s="60" t="s">
        <v>236</v>
      </c>
      <c r="BC166">
        <v>2.5</v>
      </c>
      <c r="BJ166">
        <v>0.1</v>
      </c>
      <c r="CG166">
        <v>71.3</v>
      </c>
      <c r="CI166">
        <v>7.5</v>
      </c>
      <c r="CJ166">
        <v>12</v>
      </c>
      <c r="DE166" s="60">
        <v>250</v>
      </c>
      <c r="EO166">
        <v>1</v>
      </c>
    </row>
    <row r="167" spans="1:121" ht="30.75" customHeight="1">
      <c r="A167" s="128" t="s">
        <v>44</v>
      </c>
      <c r="B167" s="128"/>
      <c r="C167" s="128"/>
      <c r="D167" s="128"/>
      <c r="E167" s="129"/>
      <c r="F167" s="68" t="s">
        <v>93</v>
      </c>
      <c r="G167" s="74">
        <f>VLOOKUP(завтрак1,таб,63,FALSE)</f>
        <v>0</v>
      </c>
      <c r="H167" s="33">
        <f>VLOOKUP(завтрак2,таб,63,FALSE)</f>
        <v>0</v>
      </c>
      <c r="I167" s="34">
        <f>VLOOKUP(завтрак3,таб,63,FALSE)</f>
        <v>0</v>
      </c>
      <c r="J167" s="33">
        <f>VLOOKUP(завтрак4,таб,63,FALSE)</f>
        <v>0</v>
      </c>
      <c r="K167" s="34">
        <f>VLOOKUP(завтрак5,таб,63,FALSE)</f>
        <v>0</v>
      </c>
      <c r="L167" s="34"/>
      <c r="M167" s="27">
        <f>VLOOKUP(завтрак7,таб,63,FALSE)</f>
        <v>0</v>
      </c>
      <c r="N167" s="84"/>
      <c r="O167" s="35">
        <f>VLOOKUP(обед1,таб,63,FALSE)</f>
        <v>0</v>
      </c>
      <c r="P167" s="34">
        <f>VLOOKUP(обед2,таб,63,FALSE)</f>
        <v>0</v>
      </c>
      <c r="Q167" s="33">
        <f>VLOOKUP(обед3,таб,63,FALSE)</f>
        <v>0</v>
      </c>
      <c r="R167" s="34"/>
      <c r="S167" s="33">
        <f>VLOOKUP(обед5,таб,63,FALSE)</f>
        <v>0</v>
      </c>
      <c r="T167" s="34">
        <f>VLOOKUP(обед6,таб,63,FALSE)</f>
        <v>0</v>
      </c>
      <c r="U167" s="33">
        <f>VLOOKUP(обед7,таб,63,FALSE)</f>
        <v>0</v>
      </c>
      <c r="V167" s="34">
        <f>VLOOKUP(обед8,таб,63,FALSE)</f>
        <v>0</v>
      </c>
      <c r="W167" s="34">
        <f>VLOOKUP(полдник1,таб,63,FALSE)</f>
        <v>0</v>
      </c>
      <c r="X167" s="34">
        <f>VLOOKUP(полдник2,таб,63,FALSE)</f>
        <v>0</v>
      </c>
      <c r="Y167" s="90">
        <f>VLOOKUP(полдник3,таб,63,FALSE)</f>
        <v>0</v>
      </c>
      <c r="Z167" s="35">
        <f>VLOOKUP(ужин1,таб,63,FALSE)</f>
        <v>0</v>
      </c>
      <c r="AA167" s="33">
        <f>VLOOKUP(ужин2,таб,63,FALSE)</f>
        <v>0</v>
      </c>
      <c r="AB167" s="34">
        <f>VLOOKUP(ужин3,таб,63,FALSE)</f>
        <v>0</v>
      </c>
      <c r="AC167" s="33">
        <f>VLOOKUP(ужин4,таб,63,FALSE)</f>
        <v>0</v>
      </c>
      <c r="AD167" s="34"/>
      <c r="AE167" s="33">
        <f>VLOOKUP(ужин6,таб,63,FALSE)</f>
        <v>0</v>
      </c>
      <c r="AF167" s="34">
        <f>VLOOKUP(ужин7,таб,63,FALSE)</f>
        <v>0</v>
      </c>
      <c r="AG167" s="90">
        <f>VLOOKUP(ужин8,таб,63,FALSE)</f>
        <v>0</v>
      </c>
      <c r="AH167" s="112"/>
      <c r="AI167" s="122">
        <f>AK167/сред</f>
        <v>0</v>
      </c>
      <c r="AJ167" s="123"/>
      <c r="AK167" s="114">
        <f>SUM(G168:AG168)</f>
        <v>0</v>
      </c>
      <c r="AL167" s="114"/>
      <c r="AM167" s="175">
        <f>IF(AK167=0,0,DA117)</f>
        <v>0</v>
      </c>
      <c r="AN167" s="115">
        <f>AK167*AM167</f>
        <v>0</v>
      </c>
      <c r="AP167">
        <v>164</v>
      </c>
      <c r="AQ167" s="60" t="s">
        <v>237</v>
      </c>
      <c r="BC167">
        <v>2</v>
      </c>
      <c r="CG167">
        <v>71.5</v>
      </c>
      <c r="CI167">
        <v>7.5</v>
      </c>
      <c r="CJ167">
        <v>13.5</v>
      </c>
      <c r="DE167" s="60">
        <v>250</v>
      </c>
      <c r="DQ167">
        <v>50</v>
      </c>
    </row>
    <row r="168" spans="1:154" ht="30.75" customHeight="1">
      <c r="A168" s="128"/>
      <c r="B168" s="128"/>
      <c r="C168" s="128"/>
      <c r="D168" s="128"/>
      <c r="E168" s="129"/>
      <c r="F168" s="65" t="s">
        <v>94</v>
      </c>
      <c r="G168" s="79">
        <f aca="true" t="shared" si="212" ref="G168:M168">IF(G167=0,"",завтракл*G167/1000)</f>
      </c>
      <c r="H168" s="51">
        <f t="shared" si="212"/>
      </c>
      <c r="I168" s="50">
        <f t="shared" si="212"/>
      </c>
      <c r="J168" s="51">
        <f t="shared" si="212"/>
      </c>
      <c r="K168" s="50">
        <f t="shared" si="212"/>
      </c>
      <c r="L168" s="50"/>
      <c r="M168" s="50">
        <f t="shared" si="212"/>
      </c>
      <c r="N168" s="87"/>
      <c r="O168" s="52">
        <f aca="true" t="shared" si="213" ref="O168:V168">IF(O167=0,"",обідл*O167/1000)</f>
      </c>
      <c r="P168" s="50">
        <f t="shared" si="213"/>
      </c>
      <c r="Q168" s="51">
        <f t="shared" si="213"/>
      </c>
      <c r="R168" s="50"/>
      <c r="S168" s="51">
        <f t="shared" si="213"/>
      </c>
      <c r="T168" s="50">
        <f t="shared" si="213"/>
      </c>
      <c r="U168" s="51">
        <f t="shared" si="213"/>
      </c>
      <c r="V168" s="50">
        <f t="shared" si="213"/>
      </c>
      <c r="W168" s="50">
        <f>IF(W167=0,"",полдникл*W167/1000)</f>
      </c>
      <c r="X168" s="50">
        <f>IF(X167=0,"",полдникл*X167/1000)</f>
      </c>
      <c r="Y168" s="87">
        <f>IF(Y167=0,"",полдникл*Y167/1000)</f>
      </c>
      <c r="Z168" s="52">
        <f aca="true" t="shared" si="214" ref="Z168:AG168">IF(Z167=0,"",ужинл*Z167/1000)</f>
      </c>
      <c r="AA168" s="51">
        <f t="shared" si="214"/>
      </c>
      <c r="AB168" s="50">
        <f t="shared" si="214"/>
      </c>
      <c r="AC168" s="51">
        <f t="shared" si="214"/>
      </c>
      <c r="AD168" s="50"/>
      <c r="AE168" s="51">
        <f t="shared" si="214"/>
      </c>
      <c r="AF168" s="50">
        <f t="shared" si="214"/>
      </c>
      <c r="AG168" s="87">
        <f t="shared" si="214"/>
      </c>
      <c r="AH168" s="113"/>
      <c r="AI168" s="122"/>
      <c r="AJ168" s="123"/>
      <c r="AK168" s="114"/>
      <c r="AL168" s="114"/>
      <c r="AM168" s="176"/>
      <c r="AN168" s="116"/>
      <c r="AP168">
        <v>165</v>
      </c>
      <c r="AQ168" s="60" t="s">
        <v>152</v>
      </c>
      <c r="BC168">
        <v>5</v>
      </c>
      <c r="BW168">
        <v>1.5</v>
      </c>
      <c r="CG168">
        <v>89.5</v>
      </c>
      <c r="CI168">
        <v>12</v>
      </c>
      <c r="CJ168">
        <v>13.5</v>
      </c>
      <c r="CM168">
        <v>7.5</v>
      </c>
      <c r="CO168">
        <v>53.5</v>
      </c>
      <c r="DE168" s="60">
        <v>250</v>
      </c>
      <c r="DM168">
        <v>5</v>
      </c>
      <c r="EX168">
        <v>0.3</v>
      </c>
    </row>
    <row r="169" spans="1:109" ht="30.75" customHeight="1">
      <c r="A169" s="128" t="s">
        <v>45</v>
      </c>
      <c r="B169" s="128"/>
      <c r="C169" s="128"/>
      <c r="D169" s="128"/>
      <c r="E169" s="129"/>
      <c r="F169" s="68" t="s">
        <v>93</v>
      </c>
      <c r="G169" s="74">
        <f>VLOOKUP(завтрак1,таб,64,FALSE)</f>
        <v>0</v>
      </c>
      <c r="H169" s="33">
        <f>VLOOKUP(завтрак2,таб,64,FALSE)</f>
        <v>0</v>
      </c>
      <c r="I169" s="34">
        <f>VLOOKUP(завтрак3,таб,64,FALSE)</f>
        <v>0</v>
      </c>
      <c r="J169" s="33">
        <f>VLOOKUP(завтрак4,таб,64,FALSE)</f>
        <v>0</v>
      </c>
      <c r="K169" s="34">
        <f>VLOOKUP(завтрак5,таб,64,FALSE)</f>
        <v>0</v>
      </c>
      <c r="L169" s="34"/>
      <c r="M169" s="27">
        <f>VLOOKUP(завтрак7,таб,64,FALSE)</f>
        <v>0</v>
      </c>
      <c r="N169" s="84"/>
      <c r="O169" s="35">
        <f>VLOOKUP(обед1,таб,64,FALSE)</f>
        <v>0</v>
      </c>
      <c r="P169" s="34">
        <f>VLOOKUP(обед2,таб,64,FALSE)</f>
        <v>0</v>
      </c>
      <c r="Q169" s="33">
        <f>VLOOKUP(обед3,таб,64,FALSE)</f>
        <v>0</v>
      </c>
      <c r="R169" s="34"/>
      <c r="S169" s="33">
        <f>VLOOKUP(обед5,таб,64,FALSE)</f>
        <v>0</v>
      </c>
      <c r="T169" s="34">
        <f>VLOOKUP(обед6,таб,64,FALSE)</f>
        <v>0</v>
      </c>
      <c r="U169" s="33">
        <f>VLOOKUP(обед7,таб,64,FALSE)</f>
        <v>0</v>
      </c>
      <c r="V169" s="34">
        <f>VLOOKUP(обед8,таб,64,FALSE)</f>
        <v>0</v>
      </c>
      <c r="W169" s="34">
        <f>VLOOKUP(полдник1,таб,64,FALSE)</f>
        <v>0</v>
      </c>
      <c r="X169" s="34">
        <f>VLOOKUP(полдник2,таб,64,FALSE)</f>
        <v>0</v>
      </c>
      <c r="Y169" s="90">
        <f>VLOOKUP(полдник3,таб,64,FALSE)</f>
        <v>0</v>
      </c>
      <c r="Z169" s="35">
        <f>VLOOKUP(ужин1,таб,64,FALSE)</f>
        <v>0</v>
      </c>
      <c r="AA169" s="33">
        <f>VLOOKUP(ужин2,таб,64,FALSE)</f>
        <v>0</v>
      </c>
      <c r="AB169" s="34">
        <f>VLOOKUP(ужин3,таб,64,FALSE)</f>
        <v>0</v>
      </c>
      <c r="AC169" s="33">
        <f>VLOOKUP(ужин4,таб,64,FALSE)</f>
        <v>0</v>
      </c>
      <c r="AD169" s="34"/>
      <c r="AE169" s="33">
        <f>VLOOKUP(ужин6,таб,64,FALSE)</f>
        <v>0</v>
      </c>
      <c r="AF169" s="34">
        <f>VLOOKUP(ужин7,таб,64,FALSE)</f>
        <v>0</v>
      </c>
      <c r="AG169" s="90">
        <f>VLOOKUP(ужин8,таб,64,FALSE)</f>
        <v>0</v>
      </c>
      <c r="AH169" s="112"/>
      <c r="AI169" s="122">
        <f>AK169/сред</f>
        <v>0</v>
      </c>
      <c r="AJ169" s="123"/>
      <c r="AK169" s="114">
        <f>SUM(G170:AG170)</f>
        <v>0</v>
      </c>
      <c r="AL169" s="114"/>
      <c r="AM169" s="175">
        <f>IF(AK169=0,0,DB117)</f>
        <v>0</v>
      </c>
      <c r="AN169" s="115">
        <f>AK169*AM169</f>
        <v>0</v>
      </c>
      <c r="AP169">
        <v>166</v>
      </c>
      <c r="AQ169" s="60" t="s">
        <v>240</v>
      </c>
      <c r="BC169">
        <v>2</v>
      </c>
      <c r="BU169">
        <v>50</v>
      </c>
      <c r="BV169">
        <v>13.8</v>
      </c>
      <c r="CG169">
        <v>75</v>
      </c>
      <c r="CI169">
        <v>7.5</v>
      </c>
      <c r="CJ169">
        <v>12</v>
      </c>
      <c r="DE169" s="60">
        <v>250</v>
      </c>
    </row>
    <row r="170" spans="1:128" ht="30.75" customHeight="1">
      <c r="A170" s="128"/>
      <c r="B170" s="128"/>
      <c r="C170" s="128"/>
      <c r="D170" s="128"/>
      <c r="E170" s="129"/>
      <c r="F170" s="65" t="s">
        <v>94</v>
      </c>
      <c r="G170" s="75">
        <f aca="true" t="shared" si="215" ref="G170:M170">IF(G169=0,"",завтракл*G169/1000)</f>
      </c>
      <c r="H170" s="46">
        <f t="shared" si="215"/>
      </c>
      <c r="I170" s="45">
        <f t="shared" si="215"/>
      </c>
      <c r="J170" s="46">
        <f t="shared" si="215"/>
      </c>
      <c r="K170" s="45">
        <f t="shared" si="215"/>
      </c>
      <c r="L170" s="45"/>
      <c r="M170" s="45">
        <f t="shared" si="215"/>
      </c>
      <c r="N170" s="85"/>
      <c r="O170" s="47">
        <f aca="true" t="shared" si="216" ref="O170:V170">IF(O169=0,"",обідл*O169/1000)</f>
      </c>
      <c r="P170" s="45">
        <f t="shared" si="216"/>
      </c>
      <c r="Q170" s="46">
        <f t="shared" si="216"/>
      </c>
      <c r="R170" s="45"/>
      <c r="S170" s="46">
        <f t="shared" si="216"/>
      </c>
      <c r="T170" s="45">
        <f t="shared" si="216"/>
      </c>
      <c r="U170" s="46">
        <f t="shared" si="216"/>
      </c>
      <c r="V170" s="45">
        <f t="shared" si="216"/>
      </c>
      <c r="W170" s="45">
        <f>IF(W169=0,"",полдникл*W169/1000)</f>
      </c>
      <c r="X170" s="45">
        <f>IF(X169=0,"",полдникл*X169/1000)</f>
      </c>
      <c r="Y170" s="85">
        <f>IF(Y169=0,"",полдникл*Y169/1000)</f>
      </c>
      <c r="Z170" s="47">
        <f aca="true" t="shared" si="217" ref="Z170:AG170">IF(Z169=0,"",ужинл*Z169/1000)</f>
      </c>
      <c r="AA170" s="46">
        <f t="shared" si="217"/>
      </c>
      <c r="AB170" s="45">
        <f t="shared" si="217"/>
      </c>
      <c r="AC170" s="46">
        <f t="shared" si="217"/>
      </c>
      <c r="AD170" s="45"/>
      <c r="AE170" s="46">
        <f t="shared" si="217"/>
      </c>
      <c r="AF170" s="45">
        <f t="shared" si="217"/>
      </c>
      <c r="AG170" s="85">
        <f t="shared" si="217"/>
      </c>
      <c r="AH170" s="113"/>
      <c r="AI170" s="122"/>
      <c r="AJ170" s="123"/>
      <c r="AK170" s="114"/>
      <c r="AL170" s="114"/>
      <c r="AM170" s="176"/>
      <c r="AN170" s="116"/>
      <c r="AP170">
        <v>167</v>
      </c>
      <c r="AQ170" s="60" t="s">
        <v>241</v>
      </c>
      <c r="BV170">
        <v>17</v>
      </c>
      <c r="CI170">
        <v>6</v>
      </c>
      <c r="CJ170">
        <v>18.5</v>
      </c>
      <c r="DE170" s="60">
        <v>250</v>
      </c>
      <c r="DX170">
        <v>3.8</v>
      </c>
    </row>
    <row r="171" spans="1:146" ht="30.75" customHeight="1">
      <c r="A171" s="128" t="s">
        <v>46</v>
      </c>
      <c r="B171" s="128"/>
      <c r="C171" s="128"/>
      <c r="D171" s="128"/>
      <c r="E171" s="129"/>
      <c r="F171" s="68" t="s">
        <v>93</v>
      </c>
      <c r="G171" s="76">
        <f>VLOOKUP(завтрак1,таб,65,FALSE)</f>
        <v>0</v>
      </c>
      <c r="H171" s="36">
        <f>VLOOKUP(завтрак2,таб,65,FALSE)</f>
        <v>0</v>
      </c>
      <c r="I171" s="37">
        <f>VLOOKUP(завтрак3,таб,65,FALSE)</f>
        <v>0</v>
      </c>
      <c r="J171" s="36">
        <f>VLOOKUP(завтрак4,таб,65,FALSE)</f>
        <v>0</v>
      </c>
      <c r="K171" s="37">
        <f>VLOOKUP(завтрак5,таб,65,FALSE)</f>
        <v>0</v>
      </c>
      <c r="L171" s="37"/>
      <c r="M171" s="27">
        <f>VLOOKUP(завтрак7,таб,65,FALSE)</f>
        <v>0</v>
      </c>
      <c r="N171" s="84"/>
      <c r="O171" s="38">
        <f>VLOOKUP(обед1,таб,65,FALSE)</f>
        <v>0</v>
      </c>
      <c r="P171" s="37">
        <f>VLOOKUP(обед2,таб,65,FALSE)</f>
        <v>0</v>
      </c>
      <c r="Q171" s="36">
        <f>VLOOKUP(обед3,таб,65,FALSE)</f>
        <v>0</v>
      </c>
      <c r="R171" s="37"/>
      <c r="S171" s="36">
        <f>VLOOKUP(обед5,таб,65,FALSE)</f>
        <v>0</v>
      </c>
      <c r="T171" s="37">
        <f>VLOOKUP(обед6,таб,65,FALSE)</f>
        <v>0</v>
      </c>
      <c r="U171" s="36">
        <f>VLOOKUP(обед7,таб,65,FALSE)</f>
        <v>0</v>
      </c>
      <c r="V171" s="37">
        <f>VLOOKUP(обед8,таб,65,FALSE)</f>
        <v>0</v>
      </c>
      <c r="W171" s="37">
        <f>VLOOKUP(полдник1,таб,65,FALSE)</f>
        <v>0</v>
      </c>
      <c r="X171" s="37">
        <f>VLOOKUP(полдник2,таб,65,FALSE)</f>
        <v>0</v>
      </c>
      <c r="Y171" s="91">
        <f>VLOOKUP(полдник3,таб,65,FALSE)</f>
        <v>0</v>
      </c>
      <c r="Z171" s="38">
        <f>VLOOKUP(ужин1,таб,65,FALSE)</f>
        <v>0</v>
      </c>
      <c r="AA171" s="36">
        <f>VLOOKUP(ужин2,таб,65,FALSE)</f>
        <v>0</v>
      </c>
      <c r="AB171" s="37">
        <f>VLOOKUP(ужин3,таб,65,FALSE)</f>
        <v>0</v>
      </c>
      <c r="AC171" s="36">
        <f>VLOOKUP(ужин4,таб,65,FALSE)</f>
        <v>0</v>
      </c>
      <c r="AD171" s="37"/>
      <c r="AE171" s="36">
        <f>VLOOKUP(ужин6,таб,65,FALSE)</f>
        <v>0</v>
      </c>
      <c r="AF171" s="37">
        <f>VLOOKUP(ужин7,таб,65,FALSE)</f>
        <v>0</v>
      </c>
      <c r="AG171" s="91">
        <f>VLOOKUP(ужин8,таб,65,FALSE)</f>
        <v>0</v>
      </c>
      <c r="AH171" s="112"/>
      <c r="AI171" s="122">
        <f>AK171/сред</f>
        <v>0</v>
      </c>
      <c r="AJ171" s="123"/>
      <c r="AK171" s="114">
        <f>SUM(G172:AG172)</f>
        <v>0</v>
      </c>
      <c r="AL171" s="114"/>
      <c r="AM171" s="175">
        <f>IF(AK171=0,0,DC117)</f>
        <v>0</v>
      </c>
      <c r="AN171" s="115">
        <f>AK171*AM171</f>
        <v>0</v>
      </c>
      <c r="AP171">
        <v>168</v>
      </c>
      <c r="AQ171" s="60" t="s">
        <v>242</v>
      </c>
      <c r="BC171">
        <v>3.6</v>
      </c>
      <c r="BI171">
        <v>9</v>
      </c>
      <c r="BR171">
        <v>21</v>
      </c>
      <c r="BV171">
        <v>6</v>
      </c>
      <c r="CI171">
        <v>10.4</v>
      </c>
      <c r="CJ171">
        <v>18.5</v>
      </c>
      <c r="DE171" s="60">
        <v>120</v>
      </c>
      <c r="DG171">
        <v>12</v>
      </c>
      <c r="DX171">
        <v>1.8</v>
      </c>
      <c r="EP171">
        <v>0.1</v>
      </c>
    </row>
    <row r="172" spans="1:151" ht="30.75" customHeight="1">
      <c r="A172" s="128"/>
      <c r="B172" s="128"/>
      <c r="C172" s="128"/>
      <c r="D172" s="128"/>
      <c r="E172" s="129"/>
      <c r="F172" s="65" t="s">
        <v>94</v>
      </c>
      <c r="G172" s="77">
        <f aca="true" t="shared" si="218" ref="G172:M172">IF(G171=0,"",завтракл*G171/1000)</f>
      </c>
      <c r="H172" s="48">
        <f t="shared" si="218"/>
      </c>
      <c r="I172" s="44">
        <f t="shared" si="218"/>
      </c>
      <c r="J172" s="48">
        <f t="shared" si="218"/>
      </c>
      <c r="K172" s="44">
        <f t="shared" si="218"/>
      </c>
      <c r="L172" s="44"/>
      <c r="M172" s="45">
        <f t="shared" si="218"/>
      </c>
      <c r="N172" s="85"/>
      <c r="O172" s="49">
        <f aca="true" t="shared" si="219" ref="O172:V172">IF(O171=0,"",обідл*O171/1000)</f>
      </c>
      <c r="P172" s="44">
        <f t="shared" si="219"/>
      </c>
      <c r="Q172" s="48">
        <f t="shared" si="219"/>
      </c>
      <c r="R172" s="44"/>
      <c r="S172" s="48">
        <f t="shared" si="219"/>
      </c>
      <c r="T172" s="44">
        <f t="shared" si="219"/>
      </c>
      <c r="U172" s="48">
        <f t="shared" si="219"/>
      </c>
      <c r="V172" s="44">
        <f t="shared" si="219"/>
      </c>
      <c r="W172" s="44">
        <f>IF(W171=0,"",полдникл*W171/1000)</f>
      </c>
      <c r="X172" s="44">
        <f>IF(X171=0,"",полдникл*X171/1000)</f>
      </c>
      <c r="Y172" s="88">
        <f>IF(Y171=0,"",полдникл*Y171/1000)</f>
      </c>
      <c r="Z172" s="49">
        <f aca="true" t="shared" si="220" ref="Z172:AG172">IF(Z171=0,"",ужинл*Z171/1000)</f>
      </c>
      <c r="AA172" s="48">
        <f t="shared" si="220"/>
      </c>
      <c r="AB172" s="44">
        <f t="shared" si="220"/>
      </c>
      <c r="AC172" s="48">
        <f t="shared" si="220"/>
      </c>
      <c r="AD172" s="44"/>
      <c r="AE172" s="48">
        <f t="shared" si="220"/>
      </c>
      <c r="AF172" s="44">
        <f t="shared" si="220"/>
      </c>
      <c r="AG172" s="88">
        <f t="shared" si="220"/>
      </c>
      <c r="AH172" s="113"/>
      <c r="AI172" s="122"/>
      <c r="AJ172" s="123"/>
      <c r="AK172" s="114"/>
      <c r="AL172" s="114"/>
      <c r="AM172" s="176"/>
      <c r="AN172" s="116"/>
      <c r="AP172">
        <v>169</v>
      </c>
      <c r="AQ172" s="60" t="s">
        <v>243</v>
      </c>
      <c r="AZ172">
        <v>2.4</v>
      </c>
      <c r="DE172" s="60">
        <v>120</v>
      </c>
      <c r="ED172">
        <v>0.3</v>
      </c>
      <c r="EU172">
        <v>58.2</v>
      </c>
    </row>
    <row r="173" spans="1:113" ht="30.75" customHeight="1">
      <c r="A173" s="128" t="s">
        <v>62</v>
      </c>
      <c r="B173" s="128"/>
      <c r="C173" s="128"/>
      <c r="D173" s="128"/>
      <c r="E173" s="129"/>
      <c r="F173" s="68" t="s">
        <v>93</v>
      </c>
      <c r="G173" s="74">
        <f>VLOOKUP(завтрак1,таб,70,FALSE)</f>
        <v>0</v>
      </c>
      <c r="H173" s="33">
        <f>VLOOKUP(завтрак2,таб,70,FALSE)</f>
        <v>0</v>
      </c>
      <c r="I173" s="34">
        <f>VLOOKUP(завтрак3,таб,70,FALSE)</f>
        <v>0</v>
      </c>
      <c r="J173" s="33">
        <f>VLOOKUP(завтрак4,таб,70,FALSE)</f>
        <v>0</v>
      </c>
      <c r="K173" s="34">
        <f>VLOOKUP(завтрак5,таб,70,FALSE)</f>
        <v>0</v>
      </c>
      <c r="L173" s="34"/>
      <c r="M173" s="27">
        <f>VLOOKUP(завтрак7,таб,70,FALSE)</f>
        <v>0</v>
      </c>
      <c r="N173" s="84"/>
      <c r="O173" s="35">
        <f>VLOOKUP(обед1,таб,70,FALSE)</f>
        <v>0</v>
      </c>
      <c r="P173" s="34">
        <f>VLOOKUP(обед2,таб,70,FALSE)</f>
        <v>0</v>
      </c>
      <c r="Q173" s="33">
        <f>VLOOKUP(обед3,таб,70,FALSE)</f>
        <v>0</v>
      </c>
      <c r="R173" s="34"/>
      <c r="S173" s="33">
        <f>VLOOKUP(обед5,таб,70,FALSE)</f>
        <v>0</v>
      </c>
      <c r="T173" s="34">
        <f>VLOOKUP(обед6,таб,70,FALSE)</f>
        <v>0</v>
      </c>
      <c r="U173" s="33">
        <f>VLOOKUP(обед7,таб,70,FALSE)</f>
        <v>0</v>
      </c>
      <c r="V173" s="34">
        <f>VLOOKUP(обед8,таб,70,FALSE)</f>
        <v>0</v>
      </c>
      <c r="W173" s="34">
        <f>VLOOKUP(полдник1,таб,70,FALSE)</f>
        <v>0</v>
      </c>
      <c r="X173" s="34">
        <f>VLOOKUP(полдник2,таб,70,FALSE)</f>
        <v>0</v>
      </c>
      <c r="Y173" s="90">
        <f>VLOOKUP(полдник3,таб,70,FALSE)</f>
        <v>0</v>
      </c>
      <c r="Z173" s="35">
        <f>VLOOKUP(ужин1,таб,70,FALSE)</f>
        <v>0</v>
      </c>
      <c r="AA173" s="33">
        <f>VLOOKUP(ужин2,таб,70,FALSE)</f>
        <v>0</v>
      </c>
      <c r="AB173" s="34">
        <f>VLOOKUP(ужин3,таб,70,FALSE)</f>
        <v>0</v>
      </c>
      <c r="AC173" s="33">
        <f>VLOOKUP(ужин4,таб,70,FALSE)</f>
        <v>0</v>
      </c>
      <c r="AD173" s="34"/>
      <c r="AE173" s="33">
        <f>VLOOKUP(ужин6,таб,70,FALSE)</f>
        <v>0</v>
      </c>
      <c r="AF173" s="34">
        <f>VLOOKUP(ужин7,таб,70,FALSE)</f>
        <v>0</v>
      </c>
      <c r="AG173" s="90">
        <f>VLOOKUP(ужин8,таб,70,FALSE)</f>
        <v>0</v>
      </c>
      <c r="AH173" s="112"/>
      <c r="AI173" s="122">
        <f>AK173/сред</f>
        <v>0</v>
      </c>
      <c r="AJ173" s="123"/>
      <c r="AK173" s="114">
        <f>SUM(G174:AG174)</f>
        <v>0</v>
      </c>
      <c r="AL173" s="114"/>
      <c r="AM173" s="175">
        <f>IF(AK173=0,0,DH117)</f>
        <v>0</v>
      </c>
      <c r="AN173" s="115">
        <f>AK173*AM173</f>
        <v>0</v>
      </c>
      <c r="AP173">
        <v>170</v>
      </c>
      <c r="AQ173" s="60" t="s">
        <v>278</v>
      </c>
      <c r="AV173">
        <v>117</v>
      </c>
      <c r="BC173">
        <v>2.4</v>
      </c>
      <c r="BI173">
        <v>19.2</v>
      </c>
      <c r="BJ173">
        <v>0.2</v>
      </c>
      <c r="BL173">
        <v>12</v>
      </c>
      <c r="DE173" s="60">
        <v>120</v>
      </c>
      <c r="DI173">
        <v>14.4</v>
      </c>
    </row>
    <row r="174" spans="1:154" ht="30.75" customHeight="1">
      <c r="A174" s="128"/>
      <c r="B174" s="128"/>
      <c r="C174" s="128"/>
      <c r="D174" s="128"/>
      <c r="E174" s="129"/>
      <c r="F174" s="65" t="s">
        <v>94</v>
      </c>
      <c r="G174" s="75">
        <f aca="true" t="shared" si="221" ref="G174:M174">IF(G173=0,"",завтракл*G173/1000)</f>
      </c>
      <c r="H174" s="46">
        <f t="shared" si="221"/>
      </c>
      <c r="I174" s="45">
        <f t="shared" si="221"/>
      </c>
      <c r="J174" s="46">
        <f t="shared" si="221"/>
      </c>
      <c r="K174" s="45">
        <f t="shared" si="221"/>
      </c>
      <c r="L174" s="45"/>
      <c r="M174" s="45">
        <f t="shared" si="221"/>
      </c>
      <c r="N174" s="85"/>
      <c r="O174" s="47">
        <f aca="true" t="shared" si="222" ref="O174:V174">IF(O173=0,"",обідл*O173/1000)</f>
      </c>
      <c r="P174" s="45">
        <f t="shared" si="222"/>
      </c>
      <c r="Q174" s="46">
        <f t="shared" si="222"/>
      </c>
      <c r="R174" s="45"/>
      <c r="S174" s="46">
        <f t="shared" si="222"/>
      </c>
      <c r="T174" s="45">
        <f t="shared" si="222"/>
      </c>
      <c r="U174" s="46">
        <f t="shared" si="222"/>
      </c>
      <c r="V174" s="45">
        <f t="shared" si="222"/>
      </c>
      <c r="W174" s="45">
        <f>IF(W173=0,"",полдникл*W173/1000)</f>
      </c>
      <c r="X174" s="45">
        <f>IF(X173=0,"",полдникл*X173/1000)</f>
      </c>
      <c r="Y174" s="85">
        <f>IF(Y173=0,"",полдникл*Y173/1000)</f>
      </c>
      <c r="Z174" s="47">
        <f aca="true" t="shared" si="223" ref="Z174:AG174">IF(Z173=0,"",ужинл*Z173/1000)</f>
      </c>
      <c r="AA174" s="46">
        <f t="shared" si="223"/>
      </c>
      <c r="AB174" s="45">
        <f t="shared" si="223"/>
      </c>
      <c r="AC174" s="46">
        <f t="shared" si="223"/>
      </c>
      <c r="AD174" s="45"/>
      <c r="AE174" s="46">
        <f t="shared" si="223"/>
      </c>
      <c r="AF174" s="45">
        <f t="shared" si="223"/>
      </c>
      <c r="AG174" s="85">
        <f t="shared" si="223"/>
      </c>
      <c r="AH174" s="113"/>
      <c r="AI174" s="122"/>
      <c r="AJ174" s="123"/>
      <c r="AK174" s="114"/>
      <c r="AL174" s="114"/>
      <c r="AM174" s="176"/>
      <c r="AN174" s="116"/>
      <c r="AP174">
        <v>171</v>
      </c>
      <c r="AQ174" s="60" t="s">
        <v>244</v>
      </c>
      <c r="AV174">
        <v>29.3</v>
      </c>
      <c r="BC174">
        <v>6</v>
      </c>
      <c r="CG174">
        <v>27.6</v>
      </c>
      <c r="CI174">
        <v>7</v>
      </c>
      <c r="CJ174">
        <v>12</v>
      </c>
      <c r="CM174">
        <v>6</v>
      </c>
      <c r="DE174" s="60">
        <v>120</v>
      </c>
      <c r="DG174">
        <v>18</v>
      </c>
      <c r="DN174">
        <v>22.5</v>
      </c>
      <c r="EL174">
        <v>12</v>
      </c>
      <c r="EX174">
        <v>0.4</v>
      </c>
    </row>
    <row r="175" spans="1:156" ht="30.75" customHeight="1">
      <c r="A175" s="159" t="s">
        <v>63</v>
      </c>
      <c r="B175" s="159"/>
      <c r="C175" s="159"/>
      <c r="D175" s="159"/>
      <c r="E175" s="160"/>
      <c r="F175" s="68" t="s">
        <v>93</v>
      </c>
      <c r="G175" s="76">
        <f>VLOOKUP(завтрак1,таб,71,FALSE)</f>
        <v>0</v>
      </c>
      <c r="H175" s="36">
        <f>VLOOKUP(завтрак2,таб,71,FALSE)</f>
        <v>0</v>
      </c>
      <c r="I175" s="37">
        <f>VLOOKUP(завтрак3,таб,71,FALSE)</f>
        <v>0</v>
      </c>
      <c r="J175" s="36">
        <f>VLOOKUP(завтрак4,таб,71,FALSE)</f>
        <v>0</v>
      </c>
      <c r="K175" s="37">
        <f>VLOOKUP(завтрак5,таб,71,FALSE)</f>
        <v>0</v>
      </c>
      <c r="L175" s="37"/>
      <c r="M175" s="27">
        <f>VLOOKUP(завтрак7,таб,71,FALSE)</f>
        <v>0</v>
      </c>
      <c r="N175" s="84"/>
      <c r="O175" s="38">
        <f>VLOOKUP(обед1,таб,71,FALSE)</f>
        <v>0</v>
      </c>
      <c r="P175" s="37">
        <f>VLOOKUP(обед2,таб,71,FALSE)</f>
        <v>0</v>
      </c>
      <c r="Q175" s="36">
        <f>VLOOKUP(обед3,таб,71,FALSE)</f>
        <v>0</v>
      </c>
      <c r="R175" s="37"/>
      <c r="S175" s="36">
        <f>VLOOKUP(обед5,таб,71,FALSE)</f>
        <v>0</v>
      </c>
      <c r="T175" s="37">
        <f>VLOOKUP(обед6,таб,71,FALSE)</f>
        <v>0</v>
      </c>
      <c r="U175" s="36">
        <f>VLOOKUP(обед7,таб,71,FALSE)</f>
        <v>0</v>
      </c>
      <c r="V175" s="37">
        <f>VLOOKUP(обед8,таб,71,FALSE)</f>
        <v>0</v>
      </c>
      <c r="W175" s="37">
        <f>VLOOKUP(полдник1,таб,71,FALSE)</f>
        <v>3</v>
      </c>
      <c r="X175" s="37">
        <f>VLOOKUP(полдник2,таб,71,FALSE)</f>
        <v>0</v>
      </c>
      <c r="Y175" s="91">
        <f>VLOOKUP(полдник3,таб,71,FALSE)</f>
        <v>0</v>
      </c>
      <c r="Z175" s="38">
        <f>VLOOKUP(ужин1,таб,71,FALSE)</f>
        <v>0</v>
      </c>
      <c r="AA175" s="36">
        <f>VLOOKUP(ужин2,таб,71,FALSE)</f>
        <v>0</v>
      </c>
      <c r="AB175" s="37">
        <f>VLOOKUP(ужин3,таб,71,FALSE)</f>
        <v>0</v>
      </c>
      <c r="AC175" s="36">
        <f>VLOOKUP(ужин4,таб,71,FALSE)</f>
        <v>0</v>
      </c>
      <c r="AD175" s="37"/>
      <c r="AE175" s="36">
        <f>VLOOKUP(ужин6,таб,71,FALSE)</f>
        <v>0</v>
      </c>
      <c r="AF175" s="37">
        <f>VLOOKUP(ужин7,таб,71,FALSE)</f>
        <v>0</v>
      </c>
      <c r="AG175" s="91">
        <f>VLOOKUP(ужин8,таб,71,FALSE)</f>
        <v>0</v>
      </c>
      <c r="AH175" s="112"/>
      <c r="AI175" s="122">
        <f>AK175/сред</f>
        <v>0.003</v>
      </c>
      <c r="AJ175" s="123"/>
      <c r="AK175" s="114">
        <f>SUM(G176:AG176)</f>
        <v>0.06</v>
      </c>
      <c r="AL175" s="114"/>
      <c r="AM175" s="175">
        <v>39</v>
      </c>
      <c r="AN175" s="115">
        <f>AK175*AM175</f>
        <v>2.34</v>
      </c>
      <c r="AP175">
        <v>172</v>
      </c>
      <c r="AQ175" s="60" t="s">
        <v>245</v>
      </c>
      <c r="AV175">
        <v>43.9</v>
      </c>
      <c r="BC175">
        <v>6</v>
      </c>
      <c r="CI175">
        <v>20.9</v>
      </c>
      <c r="CJ175">
        <v>18</v>
      </c>
      <c r="CN175">
        <v>20.7</v>
      </c>
      <c r="DE175" s="60">
        <v>120</v>
      </c>
      <c r="DN175">
        <v>37.5</v>
      </c>
      <c r="EL175">
        <v>12</v>
      </c>
      <c r="EY175">
        <v>34.5</v>
      </c>
      <c r="EZ175">
        <v>0.4</v>
      </c>
    </row>
    <row r="176" spans="1:109" ht="30.75" customHeight="1">
      <c r="A176" s="161"/>
      <c r="B176" s="161"/>
      <c r="C176" s="161"/>
      <c r="D176" s="161"/>
      <c r="E176" s="162"/>
      <c r="F176" s="65" t="s">
        <v>94</v>
      </c>
      <c r="G176" s="75">
        <f aca="true" t="shared" si="224" ref="G176:M176">IF(G175=0,"",завтракл*G175/1000)</f>
      </c>
      <c r="H176" s="46">
        <f t="shared" si="224"/>
      </c>
      <c r="I176" s="45">
        <f t="shared" si="224"/>
      </c>
      <c r="J176" s="46">
        <f t="shared" si="224"/>
      </c>
      <c r="K176" s="45">
        <f t="shared" si="224"/>
      </c>
      <c r="L176" s="45"/>
      <c r="M176" s="45">
        <f t="shared" si="224"/>
      </c>
      <c r="N176" s="85"/>
      <c r="O176" s="47">
        <f aca="true" t="shared" si="225" ref="O176:V176">IF(O175=0,"",обідл*O175/1000)</f>
      </c>
      <c r="P176" s="45">
        <f t="shared" si="225"/>
      </c>
      <c r="Q176" s="46">
        <f t="shared" si="225"/>
      </c>
      <c r="R176" s="45"/>
      <c r="S176" s="46">
        <f t="shared" si="225"/>
      </c>
      <c r="T176" s="45">
        <f t="shared" si="225"/>
      </c>
      <c r="U176" s="46">
        <f t="shared" si="225"/>
      </c>
      <c r="V176" s="45">
        <f t="shared" si="225"/>
      </c>
      <c r="W176" s="45">
        <f>IF(W175=0,"",полдникл*W175/1000)</f>
        <v>0.06</v>
      </c>
      <c r="X176" s="45">
        <f>IF(X175=0,"",полдникл*X175/1000)</f>
      </c>
      <c r="Y176" s="85">
        <f>IF(Y175=0,"",полдникл*Y175/1000)</f>
      </c>
      <c r="Z176" s="47">
        <f aca="true" t="shared" si="226" ref="Z176:AG176">IF(Z175=0,"",ужинл*Z175/1000)</f>
      </c>
      <c r="AA176" s="46">
        <f t="shared" si="226"/>
      </c>
      <c r="AB176" s="45">
        <f t="shared" si="226"/>
      </c>
      <c r="AC176" s="46">
        <f t="shared" si="226"/>
      </c>
      <c r="AD176" s="45"/>
      <c r="AE176" s="46">
        <f t="shared" si="226"/>
      </c>
      <c r="AF176" s="45">
        <f t="shared" si="226"/>
      </c>
      <c r="AG176" s="85">
        <f t="shared" si="226"/>
      </c>
      <c r="AH176" s="113"/>
      <c r="AI176" s="122"/>
      <c r="AJ176" s="123"/>
      <c r="AK176" s="114"/>
      <c r="AL176" s="114"/>
      <c r="AM176" s="176"/>
      <c r="AN176" s="116"/>
      <c r="AP176">
        <v>173</v>
      </c>
      <c r="AQ176" s="60" t="s">
        <v>248</v>
      </c>
      <c r="AZ176">
        <v>3</v>
      </c>
      <c r="BD176">
        <v>48</v>
      </c>
      <c r="BT176">
        <v>41</v>
      </c>
      <c r="DE176" s="60">
        <v>120</v>
      </c>
    </row>
    <row r="177" spans="1:145" ht="30.75" customHeight="1">
      <c r="A177" s="159" t="s">
        <v>127</v>
      </c>
      <c r="B177" s="159"/>
      <c r="C177" s="159"/>
      <c r="D177" s="159"/>
      <c r="E177" s="160"/>
      <c r="F177" s="68" t="s">
        <v>93</v>
      </c>
      <c r="G177" s="74">
        <f>VLOOKUP(завтрак1,таб,66,FALSE)</f>
        <v>0</v>
      </c>
      <c r="H177" s="33">
        <f>VLOOKUP(завтрак2,таб,66,FALSE)</f>
        <v>0</v>
      </c>
      <c r="I177" s="34">
        <f>VLOOKUP(завтрак3,таб,66,FALSE)</f>
        <v>0</v>
      </c>
      <c r="J177" s="33">
        <f>VLOOKUP(завтрак4,таб,66,FALSE)</f>
        <v>0</v>
      </c>
      <c r="K177" s="34">
        <f>VLOOKUP(завтрак5,таб,66,FALSE)</f>
        <v>0</v>
      </c>
      <c r="L177" s="34"/>
      <c r="M177" s="27">
        <f>VLOOKUP(завтрак7,таб,66,FALSE)</f>
        <v>0</v>
      </c>
      <c r="N177" s="84"/>
      <c r="O177" s="35">
        <f>VLOOKUP(обед1,таб,66,FALSE)</f>
        <v>0</v>
      </c>
      <c r="P177" s="34">
        <f>VLOOKUP(обед2,таб,66,FALSE)</f>
        <v>0</v>
      </c>
      <c r="Q177" s="33">
        <f>VLOOKUP(обед3,таб,66,FALSE)</f>
        <v>0</v>
      </c>
      <c r="R177" s="34"/>
      <c r="S177" s="33">
        <f>VLOOKUP(обед5,таб,66,FALSE)</f>
        <v>0</v>
      </c>
      <c r="T177" s="34">
        <f>VLOOKUP(обед6,таб,66,FALSE)</f>
        <v>0</v>
      </c>
      <c r="U177" s="33">
        <f>VLOOKUP(обед7,таб,66,FALSE)</f>
        <v>0</v>
      </c>
      <c r="V177" s="34">
        <f>VLOOKUP(обед8,таб,66,FALSE)</f>
        <v>0</v>
      </c>
      <c r="W177" s="34">
        <f>VLOOKUP(полдник1,таб,66,FALSE)</f>
        <v>0</v>
      </c>
      <c r="X177" s="34">
        <f>VLOOKUP(полдник2,таб,66,FALSE)</f>
        <v>0</v>
      </c>
      <c r="Y177" s="90">
        <f>VLOOKUP(полдник3,таб,66,FALSE)</f>
        <v>0</v>
      </c>
      <c r="Z177" s="35">
        <f>VLOOKUP(ужин1,таб,66,FALSE)</f>
        <v>0</v>
      </c>
      <c r="AA177" s="33">
        <f>VLOOKUP(ужин2,таб,66,FALSE)</f>
        <v>0</v>
      </c>
      <c r="AB177" s="34">
        <f>VLOOKUP(ужин3,таб,66,FALSE)</f>
        <v>0</v>
      </c>
      <c r="AC177" s="33">
        <f>VLOOKUP(ужин4,таб,66,FALSE)</f>
        <v>0</v>
      </c>
      <c r="AD177" s="34"/>
      <c r="AE177" s="33">
        <f>VLOOKUP(ужин6,таб,66,FALSE)</f>
        <v>0</v>
      </c>
      <c r="AF177" s="34">
        <f>VLOOKUP(ужин7,таб,66,FALSE)</f>
        <v>0</v>
      </c>
      <c r="AG177" s="90">
        <f>VLOOKUP(ужин8,таб,66,FALSE)</f>
        <v>0</v>
      </c>
      <c r="AH177" s="112"/>
      <c r="AI177" s="122">
        <f>AK177/сред</f>
        <v>0</v>
      </c>
      <c r="AJ177" s="123"/>
      <c r="AK177" s="114">
        <f>SUM(G178:AG178)</f>
        <v>0</v>
      </c>
      <c r="AL177" s="114"/>
      <c r="AM177" s="175">
        <f>IF(AK177=0,0,AW117)</f>
        <v>0</v>
      </c>
      <c r="AN177" s="115">
        <f>AK177*AM177</f>
        <v>0</v>
      </c>
      <c r="AP177">
        <v>174</v>
      </c>
      <c r="AQ177" s="60" t="s">
        <v>249</v>
      </c>
      <c r="AZ177">
        <v>2.4</v>
      </c>
      <c r="BD177">
        <v>18</v>
      </c>
      <c r="CG177">
        <v>146</v>
      </c>
      <c r="DE177" s="60">
        <v>120</v>
      </c>
      <c r="EO177">
        <v>0.3</v>
      </c>
    </row>
    <row r="178" spans="1:109" ht="30.75" customHeight="1">
      <c r="A178" s="159"/>
      <c r="B178" s="159"/>
      <c r="C178" s="159"/>
      <c r="D178" s="159"/>
      <c r="E178" s="160"/>
      <c r="F178" s="65" t="s">
        <v>94</v>
      </c>
      <c r="G178" s="75">
        <f aca="true" t="shared" si="227" ref="G178:M178">IF(G177=0,"",завтракл*G177/1000)</f>
      </c>
      <c r="H178" s="46">
        <f t="shared" si="227"/>
      </c>
      <c r="I178" s="45">
        <f t="shared" si="227"/>
      </c>
      <c r="J178" s="46">
        <f t="shared" si="227"/>
      </c>
      <c r="K178" s="45">
        <f t="shared" si="227"/>
      </c>
      <c r="L178" s="45"/>
      <c r="M178" s="45">
        <f t="shared" si="227"/>
      </c>
      <c r="N178" s="85"/>
      <c r="O178" s="47">
        <f aca="true" t="shared" si="228" ref="O178:V178">IF(O177=0,"",обідл*O177/1000)</f>
      </c>
      <c r="P178" s="45">
        <f t="shared" si="228"/>
      </c>
      <c r="Q178" s="46">
        <f t="shared" si="228"/>
      </c>
      <c r="R178" s="45"/>
      <c r="S178" s="46">
        <f t="shared" si="228"/>
      </c>
      <c r="T178" s="45">
        <f t="shared" si="228"/>
      </c>
      <c r="U178" s="46">
        <f t="shared" si="228"/>
      </c>
      <c r="V178" s="45">
        <f t="shared" si="228"/>
      </c>
      <c r="W178" s="45">
        <f>IF(W177=0,"",полдникл*W177/1000)</f>
      </c>
      <c r="X178" s="45">
        <f>IF(X177=0,"",полдникл*X177/1000)</f>
      </c>
      <c r="Y178" s="85">
        <f>IF(Y177=0,"",полдникл*Y177/1000)</f>
      </c>
      <c r="Z178" s="47">
        <f aca="true" t="shared" si="229" ref="Z178:AG178">IF(Z177=0,"",ужинл*Z177/1000)</f>
      </c>
      <c r="AA178" s="46">
        <f t="shared" si="229"/>
      </c>
      <c r="AB178" s="45">
        <f t="shared" si="229"/>
      </c>
      <c r="AC178" s="46">
        <f t="shared" si="229"/>
      </c>
      <c r="AD178" s="45"/>
      <c r="AE178" s="46">
        <f t="shared" si="229"/>
      </c>
      <c r="AF178" s="45">
        <f t="shared" si="229"/>
      </c>
      <c r="AG178" s="85">
        <f t="shared" si="229"/>
      </c>
      <c r="AH178" s="113"/>
      <c r="AI178" s="122"/>
      <c r="AJ178" s="123"/>
      <c r="AK178" s="114"/>
      <c r="AL178" s="114"/>
      <c r="AM178" s="176"/>
      <c r="AN178" s="116"/>
      <c r="AP178">
        <v>175</v>
      </c>
      <c r="AQ178" s="60" t="s">
        <v>250</v>
      </c>
      <c r="AZ178">
        <v>3.6</v>
      </c>
      <c r="BP178">
        <v>48</v>
      </c>
      <c r="DE178" s="60">
        <v>120</v>
      </c>
    </row>
    <row r="179" spans="1:140" ht="30.75" customHeight="1">
      <c r="A179" s="261" t="s">
        <v>233</v>
      </c>
      <c r="B179" s="262"/>
      <c r="C179" s="262"/>
      <c r="D179" s="262"/>
      <c r="E179" s="263"/>
      <c r="F179" s="70" t="s">
        <v>93</v>
      </c>
      <c r="G179" s="74">
        <f>VLOOKUP(завтрак1,таб,79,FALSE)</f>
        <v>0</v>
      </c>
      <c r="H179" s="27">
        <v>18</v>
      </c>
      <c r="I179" s="27">
        <f>VLOOKUP(завтрак3,таб,79,FALSE)</f>
        <v>0</v>
      </c>
      <c r="J179" s="27">
        <f>VLOOKUP(завтрак4,таб,79,FALSE)</f>
        <v>0</v>
      </c>
      <c r="K179" s="27">
        <f>VLOOKUP(завтрак5,таб,79,FALSE)</f>
        <v>0</v>
      </c>
      <c r="L179" s="27"/>
      <c r="M179" s="27">
        <f>VLOOKUP(завтрак7,таб,79,FALSE)</f>
        <v>0</v>
      </c>
      <c r="N179" s="84"/>
      <c r="O179" s="35">
        <f>VLOOKUP(обед1,таб,79,FALSE)</f>
        <v>0</v>
      </c>
      <c r="P179" s="34">
        <f>VLOOKUP(обед2,таб,79,FALSE)</f>
        <v>0</v>
      </c>
      <c r="Q179" s="34">
        <f>VLOOKUP(обед3,таб,79,FALSE)</f>
        <v>0</v>
      </c>
      <c r="R179" s="34"/>
      <c r="S179" s="34">
        <f>VLOOKUP(обед5,таб,79,FALSE)</f>
        <v>0</v>
      </c>
      <c r="T179" s="34">
        <f>VLOOKUP(обед6,таб,79,FALSE)</f>
        <v>0</v>
      </c>
      <c r="U179" s="34">
        <f>VLOOKUP(обед7,таб,79,FALSE)</f>
        <v>0</v>
      </c>
      <c r="V179" s="34">
        <f>VLOOKUP(обед8,таб,79,FALSE)</f>
        <v>0</v>
      </c>
      <c r="W179" s="34">
        <f>VLOOKUP(полдник1,таб,79,FALSE)</f>
        <v>0</v>
      </c>
      <c r="X179" s="34">
        <f>VLOOKUP(полдник2,таб,79,FALSE)</f>
        <v>0</v>
      </c>
      <c r="Y179" s="90">
        <f>VLOOKUP(полдник3,таб,79,FALSE)</f>
        <v>0</v>
      </c>
      <c r="Z179" s="35">
        <f>VLOOKUP(ужин1,таб,79,FALSE)</f>
        <v>0</v>
      </c>
      <c r="AA179" s="34">
        <f>VLOOKUP(ужин2,таб,79,FALSE)</f>
        <v>0</v>
      </c>
      <c r="AB179" s="34">
        <f>VLOOKUP(ужин3,таб,79,FALSE)</f>
        <v>0</v>
      </c>
      <c r="AC179" s="34">
        <f>VLOOKUP(ужин4,таб,79,FALSE)</f>
        <v>0</v>
      </c>
      <c r="AD179" s="34"/>
      <c r="AE179" s="34">
        <f>VLOOKUP(ужин6,таб,79,FALSE)</f>
        <v>0</v>
      </c>
      <c r="AF179" s="34">
        <f>VLOOKUP(ужин7,таб,79,FALSE)</f>
        <v>0</v>
      </c>
      <c r="AG179" s="90">
        <f>VLOOKUP(ужин8,таб,79,FALSE)</f>
        <v>0</v>
      </c>
      <c r="AH179" s="112"/>
      <c r="AI179" s="122">
        <f>AK179/сред</f>
        <v>0.0189</v>
      </c>
      <c r="AJ179" s="123"/>
      <c r="AK179" s="114">
        <f>SUM(G180:AG180)</f>
        <v>0.378</v>
      </c>
      <c r="AL179" s="114"/>
      <c r="AM179" s="175">
        <v>70</v>
      </c>
      <c r="AN179" s="115">
        <f>AK179*AM179</f>
        <v>26.46</v>
      </c>
      <c r="AP179">
        <v>176</v>
      </c>
      <c r="AQ179" s="60" t="s">
        <v>251</v>
      </c>
      <c r="AZ179">
        <v>1.8</v>
      </c>
      <c r="BC179">
        <v>2.4</v>
      </c>
      <c r="BR179">
        <v>36.7</v>
      </c>
      <c r="BV179">
        <v>6</v>
      </c>
      <c r="CI179">
        <v>17</v>
      </c>
      <c r="CJ179">
        <v>15</v>
      </c>
      <c r="CK179">
        <v>21</v>
      </c>
      <c r="CM179">
        <v>3.8</v>
      </c>
      <c r="DE179" s="60">
        <v>120</v>
      </c>
      <c r="EJ179">
        <v>0.7</v>
      </c>
    </row>
    <row r="180" spans="1:109" ht="30.75" customHeight="1">
      <c r="A180" s="264"/>
      <c r="B180" s="265"/>
      <c r="C180" s="265"/>
      <c r="D180" s="265"/>
      <c r="E180" s="266"/>
      <c r="F180" s="71" t="s">
        <v>94</v>
      </c>
      <c r="G180" s="75">
        <f aca="true" t="shared" si="230" ref="G180:M180">IF(G179=0,"",завтракл*G179/1000)</f>
      </c>
      <c r="H180" s="44">
        <f t="shared" si="230"/>
        <v>0.378</v>
      </c>
      <c r="I180" s="44">
        <f t="shared" si="230"/>
      </c>
      <c r="J180" s="44">
        <f t="shared" si="230"/>
      </c>
      <c r="K180" s="44">
        <f t="shared" si="230"/>
      </c>
      <c r="L180" s="44"/>
      <c r="M180" s="44">
        <f t="shared" si="230"/>
      </c>
      <c r="N180" s="85"/>
      <c r="O180" s="47">
        <f aca="true" t="shared" si="231" ref="O180:V180">IF(O179=0,"",обідл*O179/1000)</f>
      </c>
      <c r="P180" s="45">
        <f t="shared" si="231"/>
      </c>
      <c r="Q180" s="45">
        <f t="shared" si="231"/>
      </c>
      <c r="R180" s="45"/>
      <c r="S180" s="45">
        <f t="shared" si="231"/>
      </c>
      <c r="T180" s="45">
        <f t="shared" si="231"/>
      </c>
      <c r="U180" s="45">
        <f t="shared" si="231"/>
      </c>
      <c r="V180" s="45">
        <f t="shared" si="231"/>
      </c>
      <c r="W180" s="45">
        <f>IF(W179=0,"",полдникл*W179/1000)</f>
      </c>
      <c r="X180" s="45">
        <f>IF(X179=0,"",полдникл*X179/1000)</f>
      </c>
      <c r="Y180" s="85">
        <f>IF(Y179=0,"",полдникл*Y179/1000)</f>
      </c>
      <c r="Z180" s="47">
        <f aca="true" t="shared" si="232" ref="Z180:AG180">IF(Z179=0,"",ужинл*Z179/1000)</f>
      </c>
      <c r="AA180" s="45">
        <f t="shared" si="232"/>
      </c>
      <c r="AB180" s="45">
        <f t="shared" si="232"/>
      </c>
      <c r="AC180" s="45">
        <f t="shared" si="232"/>
      </c>
      <c r="AD180" s="45"/>
      <c r="AE180" s="45">
        <f t="shared" si="232"/>
      </c>
      <c r="AF180" s="45">
        <f t="shared" si="232"/>
      </c>
      <c r="AG180" s="85">
        <f t="shared" si="232"/>
      </c>
      <c r="AH180" s="113"/>
      <c r="AI180" s="122"/>
      <c r="AJ180" s="123"/>
      <c r="AK180" s="114"/>
      <c r="AL180" s="114"/>
      <c r="AM180" s="176"/>
      <c r="AN180" s="116"/>
      <c r="AP180">
        <v>177</v>
      </c>
      <c r="AQ180" s="60" t="s">
        <v>252</v>
      </c>
      <c r="AZ180">
        <v>2.4</v>
      </c>
      <c r="BN180">
        <v>50</v>
      </c>
      <c r="CM180">
        <v>12</v>
      </c>
      <c r="DE180" s="101">
        <v>120</v>
      </c>
    </row>
    <row r="181" spans="1:145" ht="30.75" customHeight="1">
      <c r="A181" s="172" t="s">
        <v>131</v>
      </c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259" t="s">
        <v>100</v>
      </c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260"/>
      <c r="AH181" s="59" t="s">
        <v>108</v>
      </c>
      <c r="AI181" s="59"/>
      <c r="AJ181" s="59"/>
      <c r="AK181" s="59"/>
      <c r="AL181" s="59"/>
      <c r="AM181" s="267">
        <f>SUM(AN25:AN180)</f>
        <v>1247.715167</v>
      </c>
      <c r="AN181" s="267"/>
      <c r="AP181">
        <v>178</v>
      </c>
      <c r="AQ181" s="60" t="s">
        <v>253</v>
      </c>
      <c r="AZ181">
        <v>3</v>
      </c>
      <c r="BR181">
        <v>43.4</v>
      </c>
      <c r="DE181" s="60">
        <v>120</v>
      </c>
      <c r="EO181">
        <v>0.6</v>
      </c>
    </row>
    <row r="182" spans="1:157" ht="19.5" customHeight="1">
      <c r="A182" s="54"/>
      <c r="B182" s="54"/>
      <c r="C182" s="54"/>
      <c r="D182" s="54"/>
      <c r="E182" s="54"/>
      <c r="F182" s="53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16"/>
      <c r="AI182" s="16"/>
      <c r="AP182" s="101">
        <v>179</v>
      </c>
      <c r="AQ182" s="60" t="s">
        <v>254</v>
      </c>
      <c r="BC182">
        <v>3.6</v>
      </c>
      <c r="DE182" s="60">
        <v>120</v>
      </c>
      <c r="FA182">
        <v>48</v>
      </c>
    </row>
    <row r="183" spans="1:158" ht="19.5" customHeight="1">
      <c r="A183" s="163" t="s">
        <v>69</v>
      </c>
      <c r="B183" s="164"/>
      <c r="C183" s="164"/>
      <c r="D183" s="165"/>
      <c r="E183" s="54"/>
      <c r="F183" s="53"/>
      <c r="G183" s="31"/>
      <c r="H183" s="36"/>
      <c r="I183" s="36"/>
      <c r="J183" s="36"/>
      <c r="K183" s="36"/>
      <c r="L183" s="36"/>
      <c r="M183" s="31"/>
      <c r="N183" s="31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16"/>
      <c r="AI183" s="16"/>
      <c r="AP183">
        <v>180</v>
      </c>
      <c r="AQ183" s="60" t="s">
        <v>255</v>
      </c>
      <c r="AZ183">
        <v>3</v>
      </c>
      <c r="BN183">
        <v>57</v>
      </c>
      <c r="DE183" s="60">
        <v>120</v>
      </c>
      <c r="FB183">
        <v>0.3</v>
      </c>
    </row>
    <row r="184" spans="1:159" ht="19.5" customHeight="1">
      <c r="A184" s="166"/>
      <c r="B184" s="167"/>
      <c r="C184" s="167"/>
      <c r="D184" s="168"/>
      <c r="E184" s="54"/>
      <c r="F184" s="53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16"/>
      <c r="AI184" s="16"/>
      <c r="AP184">
        <v>181</v>
      </c>
      <c r="AQ184" s="60" t="s">
        <v>257</v>
      </c>
      <c r="BC184">
        <v>3.6</v>
      </c>
      <c r="CJ184">
        <v>16.2</v>
      </c>
      <c r="CL184">
        <v>7.2</v>
      </c>
      <c r="CO184">
        <v>16.2</v>
      </c>
      <c r="DE184" s="60">
        <v>120</v>
      </c>
      <c r="EQ184">
        <v>0.3</v>
      </c>
      <c r="FC184">
        <v>48</v>
      </c>
    </row>
    <row r="185" spans="1:141" ht="19.5" customHeight="1">
      <c r="A185" s="166"/>
      <c r="B185" s="167"/>
      <c r="C185" s="167"/>
      <c r="D185" s="168"/>
      <c r="E185" s="54"/>
      <c r="F185" s="53"/>
      <c r="G185" s="31"/>
      <c r="H185" s="36"/>
      <c r="I185" s="36"/>
      <c r="J185" s="36"/>
      <c r="K185" s="36"/>
      <c r="L185" s="36"/>
      <c r="M185" s="31"/>
      <c r="N185" s="31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16"/>
      <c r="AI185" s="16"/>
      <c r="AP185">
        <v>182</v>
      </c>
      <c r="AQ185" s="60" t="s">
        <v>259</v>
      </c>
      <c r="AZ185">
        <v>3</v>
      </c>
      <c r="CG185">
        <v>156</v>
      </c>
      <c r="DE185" s="60">
        <v>120</v>
      </c>
      <c r="EK185">
        <v>3</v>
      </c>
    </row>
    <row r="186" spans="1:160" ht="19.5" customHeight="1">
      <c r="A186" s="166"/>
      <c r="B186" s="167"/>
      <c r="C186" s="167"/>
      <c r="D186" s="168"/>
      <c r="E186" s="54"/>
      <c r="F186" s="53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16"/>
      <c r="AI186" s="16"/>
      <c r="AP186">
        <v>183</v>
      </c>
      <c r="AQ186" s="60" t="s">
        <v>260</v>
      </c>
      <c r="AZ186">
        <v>3</v>
      </c>
      <c r="BR186">
        <v>42.8</v>
      </c>
      <c r="DE186" s="60">
        <v>120</v>
      </c>
      <c r="FD186">
        <v>0.6</v>
      </c>
    </row>
    <row r="187" spans="1:159" ht="19.5" customHeight="1">
      <c r="A187" s="166"/>
      <c r="B187" s="167"/>
      <c r="C187" s="167"/>
      <c r="D187" s="168"/>
      <c r="E187" s="54"/>
      <c r="F187" s="53"/>
      <c r="G187" s="31"/>
      <c r="H187" s="36"/>
      <c r="I187" s="36"/>
      <c r="J187" s="36"/>
      <c r="K187" s="36"/>
      <c r="L187" s="36"/>
      <c r="M187" s="31"/>
      <c r="N187" s="31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16"/>
      <c r="AI187" s="16"/>
      <c r="AP187">
        <v>184</v>
      </c>
      <c r="AQ187" s="60" t="s">
        <v>262</v>
      </c>
      <c r="AZ187">
        <v>3</v>
      </c>
      <c r="DE187" s="60">
        <v>120</v>
      </c>
      <c r="EQ187">
        <v>0.2</v>
      </c>
      <c r="FC187">
        <v>58.8</v>
      </c>
    </row>
    <row r="188" spans="1:121" ht="19.5" customHeight="1">
      <c r="A188" s="166"/>
      <c r="B188" s="167"/>
      <c r="C188" s="167"/>
      <c r="D188" s="168"/>
      <c r="E188" s="54"/>
      <c r="F188" s="53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16"/>
      <c r="AI188" s="16"/>
      <c r="AP188">
        <v>185</v>
      </c>
      <c r="AQ188" s="60" t="s">
        <v>263</v>
      </c>
      <c r="AZ188">
        <v>4.8</v>
      </c>
      <c r="DE188" s="60">
        <v>120</v>
      </c>
      <c r="DQ188">
        <v>60</v>
      </c>
    </row>
    <row r="189" spans="1:121" ht="19.5" customHeight="1">
      <c r="A189" s="166"/>
      <c r="B189" s="167"/>
      <c r="C189" s="167"/>
      <c r="D189" s="168"/>
      <c r="E189" s="54"/>
      <c r="F189" s="53"/>
      <c r="G189" s="31"/>
      <c r="H189" s="36"/>
      <c r="I189" s="36"/>
      <c r="J189" s="36"/>
      <c r="K189" s="36"/>
      <c r="L189" s="36"/>
      <c r="M189" s="31"/>
      <c r="N189" s="31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16"/>
      <c r="AI189" s="16"/>
      <c r="AP189">
        <v>186</v>
      </c>
      <c r="AQ189" s="60" t="s">
        <v>264</v>
      </c>
      <c r="AZ189">
        <v>4.8</v>
      </c>
      <c r="DE189" s="60">
        <v>120</v>
      </c>
      <c r="DQ189">
        <v>54</v>
      </c>
    </row>
    <row r="190" spans="1:150" ht="19.5" customHeight="1">
      <c r="A190" s="166"/>
      <c r="B190" s="167"/>
      <c r="C190" s="167"/>
      <c r="D190" s="168"/>
      <c r="E190" s="54"/>
      <c r="F190" s="53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16"/>
      <c r="AI190" s="16"/>
      <c r="AP190">
        <v>187</v>
      </c>
      <c r="AQ190" s="60" t="s">
        <v>265</v>
      </c>
      <c r="BC190">
        <v>4.5</v>
      </c>
      <c r="CI190">
        <v>27.5</v>
      </c>
      <c r="CJ190">
        <v>30</v>
      </c>
      <c r="DE190" s="60">
        <v>250</v>
      </c>
      <c r="DQ190">
        <v>125</v>
      </c>
      <c r="ET190">
        <v>75</v>
      </c>
    </row>
    <row r="191" spans="1:117" ht="19.5" customHeight="1">
      <c r="A191" s="166"/>
      <c r="B191" s="167"/>
      <c r="C191" s="167"/>
      <c r="D191" s="168"/>
      <c r="E191" s="54"/>
      <c r="F191" s="53"/>
      <c r="G191" s="31"/>
      <c r="H191" s="36"/>
      <c r="I191" s="36"/>
      <c r="J191" s="36"/>
      <c r="K191" s="36"/>
      <c r="L191" s="36"/>
      <c r="M191" s="31"/>
      <c r="N191" s="31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16"/>
      <c r="AI191" s="16"/>
      <c r="AP191">
        <v>188</v>
      </c>
      <c r="AQ191" s="60" t="s">
        <v>266</v>
      </c>
      <c r="AZ191">
        <v>3.6</v>
      </c>
      <c r="BU191">
        <v>36</v>
      </c>
      <c r="DE191" s="60">
        <v>120</v>
      </c>
      <c r="DM191">
        <v>3</v>
      </c>
    </row>
    <row r="192" spans="1:161" ht="19.5" customHeight="1">
      <c r="A192" s="166"/>
      <c r="B192" s="167"/>
      <c r="C192" s="167"/>
      <c r="D192" s="168"/>
      <c r="E192" s="54"/>
      <c r="F192" s="53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16"/>
      <c r="AI192" s="16"/>
      <c r="AP192">
        <v>189</v>
      </c>
      <c r="AQ192" s="60" t="s">
        <v>267</v>
      </c>
      <c r="BC192">
        <v>3.6</v>
      </c>
      <c r="BU192">
        <v>54</v>
      </c>
      <c r="DE192" s="60">
        <v>120</v>
      </c>
      <c r="FE192">
        <v>0.5</v>
      </c>
    </row>
    <row r="193" spans="1:146" ht="19.5" customHeight="1">
      <c r="A193" s="166"/>
      <c r="B193" s="167"/>
      <c r="C193" s="167"/>
      <c r="D193" s="168"/>
      <c r="E193" s="54"/>
      <c r="F193" s="53"/>
      <c r="G193" s="31"/>
      <c r="H193" s="36"/>
      <c r="I193" s="36"/>
      <c r="J193" s="36"/>
      <c r="K193" s="36"/>
      <c r="L193" s="36"/>
      <c r="M193" s="31"/>
      <c r="N193" s="31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16"/>
      <c r="AI193" s="16"/>
      <c r="AP193">
        <v>190</v>
      </c>
      <c r="AQ193" s="60" t="s">
        <v>153</v>
      </c>
      <c r="AZ193">
        <v>2.4</v>
      </c>
      <c r="BQ193">
        <v>37.9</v>
      </c>
      <c r="CK193">
        <v>35.1</v>
      </c>
      <c r="CP193">
        <v>2.4</v>
      </c>
      <c r="DE193" s="60">
        <v>120</v>
      </c>
      <c r="EP193">
        <v>0.2</v>
      </c>
    </row>
    <row r="194" spans="1:111" ht="19.5" customHeight="1">
      <c r="A194" s="166"/>
      <c r="B194" s="167"/>
      <c r="C194" s="167"/>
      <c r="D194" s="168"/>
      <c r="E194" s="54"/>
      <c r="F194" s="53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16"/>
      <c r="AI194" s="16"/>
      <c r="AP194">
        <v>191</v>
      </c>
      <c r="AQ194" s="60" t="s">
        <v>269</v>
      </c>
      <c r="AZ194">
        <v>1.8</v>
      </c>
      <c r="BD194">
        <v>28.5</v>
      </c>
      <c r="BL194">
        <v>4</v>
      </c>
      <c r="CH194">
        <v>30</v>
      </c>
      <c r="CJ194">
        <v>64</v>
      </c>
      <c r="DE194" s="60">
        <v>120</v>
      </c>
      <c r="DG194">
        <v>36</v>
      </c>
    </row>
    <row r="195" spans="1:163" ht="19.5" customHeight="1">
      <c r="A195" s="166"/>
      <c r="B195" s="167"/>
      <c r="C195" s="167"/>
      <c r="D195" s="168"/>
      <c r="E195" s="54"/>
      <c r="F195" s="53"/>
      <c r="G195" s="31"/>
      <c r="H195" s="36"/>
      <c r="I195" s="36"/>
      <c r="J195" s="36"/>
      <c r="K195" s="36"/>
      <c r="L195" s="36"/>
      <c r="M195" s="31"/>
      <c r="N195" s="31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16"/>
      <c r="AI195" s="16"/>
      <c r="AP195">
        <v>192</v>
      </c>
      <c r="AQ195" s="60" t="s">
        <v>270</v>
      </c>
      <c r="BC195">
        <v>3.6</v>
      </c>
      <c r="BD195">
        <v>28.8</v>
      </c>
      <c r="BJ195">
        <v>0.2</v>
      </c>
      <c r="BW195">
        <v>3</v>
      </c>
      <c r="DE195" s="60">
        <v>60</v>
      </c>
      <c r="FF195">
        <v>16.8</v>
      </c>
      <c r="FG195">
        <v>11.1</v>
      </c>
    </row>
    <row r="196" spans="1:164" ht="19.5" customHeight="1">
      <c r="A196" s="166"/>
      <c r="B196" s="167"/>
      <c r="C196" s="167"/>
      <c r="D196" s="168"/>
      <c r="E196" s="54"/>
      <c r="F196" s="53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16"/>
      <c r="AI196" s="16"/>
      <c r="AP196">
        <v>193</v>
      </c>
      <c r="AQ196" s="60" t="s">
        <v>273</v>
      </c>
      <c r="AY196">
        <v>24</v>
      </c>
      <c r="AZ196">
        <v>4.8</v>
      </c>
      <c r="BC196">
        <v>0.9</v>
      </c>
      <c r="BJ196">
        <v>0.5</v>
      </c>
      <c r="BW196">
        <v>3</v>
      </c>
      <c r="CS196">
        <v>12.6</v>
      </c>
      <c r="DE196" s="60">
        <v>60</v>
      </c>
      <c r="FG196">
        <v>24.3</v>
      </c>
      <c r="FH196">
        <v>13.2</v>
      </c>
    </row>
    <row r="197" spans="1:166" ht="19.5" customHeight="1">
      <c r="A197" s="166"/>
      <c r="B197" s="167"/>
      <c r="C197" s="167"/>
      <c r="D197" s="168"/>
      <c r="E197" s="54"/>
      <c r="F197" s="53"/>
      <c r="G197" s="31"/>
      <c r="H197" s="36"/>
      <c r="I197" s="36"/>
      <c r="J197" s="36"/>
      <c r="K197" s="36"/>
      <c r="L197" s="36"/>
      <c r="M197" s="31"/>
      <c r="N197" s="31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16"/>
      <c r="AI197" s="16"/>
      <c r="AP197">
        <v>194</v>
      </c>
      <c r="AQ197" s="60" t="s">
        <v>275</v>
      </c>
      <c r="AZ197">
        <v>2.4</v>
      </c>
      <c r="BC197">
        <v>3.2</v>
      </c>
      <c r="BJ197">
        <v>0.3</v>
      </c>
      <c r="BW197">
        <v>4</v>
      </c>
      <c r="CZ197">
        <v>1</v>
      </c>
      <c r="DE197" s="60">
        <v>80</v>
      </c>
      <c r="ED197">
        <v>2.4</v>
      </c>
      <c r="FF197">
        <v>4.8</v>
      </c>
      <c r="FG197">
        <v>12.8</v>
      </c>
      <c r="FI197">
        <v>9.6</v>
      </c>
      <c r="FJ197">
        <v>3.2</v>
      </c>
    </row>
    <row r="198" spans="1:165" ht="19.5" customHeight="1">
      <c r="A198" s="166"/>
      <c r="B198" s="167"/>
      <c r="C198" s="167"/>
      <c r="D198" s="168"/>
      <c r="E198" s="54"/>
      <c r="F198" s="53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16"/>
      <c r="AI198" s="16"/>
      <c r="AP198">
        <v>195</v>
      </c>
      <c r="AQ198" s="60" t="s">
        <v>277</v>
      </c>
      <c r="AY198">
        <v>60</v>
      </c>
      <c r="BJ198">
        <v>0.8</v>
      </c>
      <c r="BW198">
        <v>4</v>
      </c>
      <c r="CW198">
        <v>2</v>
      </c>
      <c r="DE198" s="60">
        <v>80</v>
      </c>
      <c r="FF198">
        <v>4.4</v>
      </c>
      <c r="FG198">
        <v>13.6</v>
      </c>
      <c r="FI198">
        <v>13.6</v>
      </c>
    </row>
    <row r="199" spans="1:146" ht="19.5" customHeight="1">
      <c r="A199" s="166"/>
      <c r="B199" s="167"/>
      <c r="C199" s="167"/>
      <c r="D199" s="168"/>
      <c r="E199" s="54"/>
      <c r="F199" s="53"/>
      <c r="G199" s="31"/>
      <c r="H199" s="36"/>
      <c r="I199" s="36"/>
      <c r="J199" s="36"/>
      <c r="K199" s="36"/>
      <c r="L199" s="36"/>
      <c r="M199" s="31"/>
      <c r="N199" s="31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16"/>
      <c r="AI199" s="16"/>
      <c r="AP199">
        <v>196</v>
      </c>
      <c r="AQ199" s="60" t="s">
        <v>279</v>
      </c>
      <c r="AX199">
        <v>66.8</v>
      </c>
      <c r="BC199">
        <v>4.5</v>
      </c>
      <c r="CG199">
        <v>120</v>
      </c>
      <c r="CI199">
        <v>14.4</v>
      </c>
      <c r="CJ199">
        <v>16.2</v>
      </c>
      <c r="CM199">
        <v>3</v>
      </c>
      <c r="DE199" s="60">
        <v>150</v>
      </c>
      <c r="EO199">
        <v>0.5</v>
      </c>
      <c r="EP199">
        <v>0.2</v>
      </c>
    </row>
    <row r="200" spans="1:109" ht="19.5" customHeight="1">
      <c r="A200" s="166"/>
      <c r="B200" s="167"/>
      <c r="C200" s="167"/>
      <c r="D200" s="168"/>
      <c r="E200" s="54"/>
      <c r="F200" s="53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16"/>
      <c r="AI200" s="16"/>
      <c r="AP200">
        <v>197</v>
      </c>
      <c r="AQ200" s="60" t="s">
        <v>280</v>
      </c>
      <c r="AX200">
        <v>111.5</v>
      </c>
      <c r="AZ200">
        <v>2.4</v>
      </c>
      <c r="BD200">
        <v>28.5</v>
      </c>
      <c r="BL200">
        <v>20.6</v>
      </c>
      <c r="CI200">
        <v>18</v>
      </c>
      <c r="DE200" s="60">
        <v>100</v>
      </c>
    </row>
    <row r="201" spans="1:109" ht="19.5" customHeight="1">
      <c r="A201" s="166"/>
      <c r="B201" s="167"/>
      <c r="C201" s="167"/>
      <c r="D201" s="168"/>
      <c r="E201" s="54"/>
      <c r="F201" s="53"/>
      <c r="G201" s="31"/>
      <c r="H201" s="36"/>
      <c r="I201" s="36"/>
      <c r="J201" s="36"/>
      <c r="K201" s="36"/>
      <c r="L201" s="36"/>
      <c r="M201" s="31"/>
      <c r="N201" s="31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16"/>
      <c r="AI201" s="16"/>
      <c r="AP201">
        <v>198</v>
      </c>
      <c r="AQ201" s="60" t="s">
        <v>281</v>
      </c>
      <c r="AX201">
        <v>81.6</v>
      </c>
      <c r="BJ201">
        <v>0.1</v>
      </c>
      <c r="CI201">
        <v>14.28</v>
      </c>
      <c r="DE201" s="60">
        <v>60</v>
      </c>
    </row>
    <row r="202" spans="1:109" ht="19.5" customHeight="1">
      <c r="A202" s="166"/>
      <c r="B202" s="167"/>
      <c r="C202" s="167"/>
      <c r="D202" s="168"/>
      <c r="E202" s="54"/>
      <c r="F202" s="53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16"/>
      <c r="AI202" s="16"/>
      <c r="AP202">
        <v>199</v>
      </c>
      <c r="AQ202" s="60" t="s">
        <v>282</v>
      </c>
      <c r="AX202">
        <v>111.5</v>
      </c>
      <c r="BC202">
        <v>3</v>
      </c>
      <c r="CI202">
        <v>18</v>
      </c>
      <c r="CJ202">
        <v>20</v>
      </c>
      <c r="CM202">
        <v>3</v>
      </c>
      <c r="DE202" s="60">
        <v>100</v>
      </c>
    </row>
    <row r="203" spans="1:113" ht="19.5" customHeight="1">
      <c r="A203" s="166"/>
      <c r="B203" s="167"/>
      <c r="C203" s="167"/>
      <c r="D203" s="168"/>
      <c r="E203" s="54"/>
      <c r="F203" s="53"/>
      <c r="G203" s="31"/>
      <c r="H203" s="36"/>
      <c r="I203" s="36"/>
      <c r="J203" s="36"/>
      <c r="K203" s="36"/>
      <c r="L203" s="36"/>
      <c r="M203" s="31"/>
      <c r="N203" s="31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16"/>
      <c r="AI203" s="16"/>
      <c r="AP203">
        <v>200</v>
      </c>
      <c r="AQ203" s="60" t="s">
        <v>283</v>
      </c>
      <c r="AX203">
        <v>66.5</v>
      </c>
      <c r="BJ203">
        <v>5.6</v>
      </c>
      <c r="BL203">
        <v>6</v>
      </c>
      <c r="DE203" s="60">
        <v>70</v>
      </c>
      <c r="DI203">
        <v>14</v>
      </c>
    </row>
    <row r="204" spans="1:109" ht="19.5" customHeight="1">
      <c r="A204" s="166"/>
      <c r="B204" s="167"/>
      <c r="C204" s="167"/>
      <c r="D204" s="168"/>
      <c r="E204" s="54"/>
      <c r="F204" s="53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16"/>
      <c r="AI204" s="16"/>
      <c r="AP204">
        <v>201</v>
      </c>
      <c r="AQ204" s="60" t="s">
        <v>284</v>
      </c>
      <c r="AX204">
        <v>66.9</v>
      </c>
      <c r="BJ204">
        <v>0.1</v>
      </c>
      <c r="BM204">
        <v>1.5</v>
      </c>
      <c r="CI204">
        <v>12</v>
      </c>
      <c r="DE204" s="60">
        <v>60</v>
      </c>
    </row>
    <row r="205" spans="1:109" ht="19.5" customHeight="1">
      <c r="A205" s="166"/>
      <c r="B205" s="167"/>
      <c r="C205" s="167"/>
      <c r="D205" s="168"/>
      <c r="E205" s="54"/>
      <c r="F205" s="53"/>
      <c r="G205" s="31"/>
      <c r="H205" s="36"/>
      <c r="I205" s="36"/>
      <c r="J205" s="36"/>
      <c r="K205" s="36"/>
      <c r="L205" s="36"/>
      <c r="M205" s="31"/>
      <c r="N205" s="31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16"/>
      <c r="AI205" s="16"/>
      <c r="AP205" s="101">
        <v>202</v>
      </c>
      <c r="AQ205" s="60" t="s">
        <v>285</v>
      </c>
      <c r="AX205">
        <v>66.9</v>
      </c>
      <c r="AZ205">
        <v>2.4</v>
      </c>
      <c r="BC205">
        <v>28</v>
      </c>
      <c r="BL205">
        <v>20.6</v>
      </c>
      <c r="CI205">
        <v>7.2</v>
      </c>
      <c r="CJ205">
        <v>8.1</v>
      </c>
      <c r="DE205" s="60">
        <v>60</v>
      </c>
    </row>
    <row r="206" spans="1:113" ht="19.5" customHeight="1">
      <c r="A206" s="166"/>
      <c r="B206" s="167"/>
      <c r="C206" s="167"/>
      <c r="D206" s="168"/>
      <c r="E206" s="54"/>
      <c r="F206" s="53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16"/>
      <c r="AI206" s="16"/>
      <c r="AP206">
        <v>203</v>
      </c>
      <c r="AQ206" s="60" t="s">
        <v>286</v>
      </c>
      <c r="AX206">
        <v>66.5</v>
      </c>
      <c r="BC206">
        <v>1.4</v>
      </c>
      <c r="BJ206">
        <v>0.1</v>
      </c>
      <c r="BL206">
        <v>5.6</v>
      </c>
      <c r="CQ206">
        <v>17.5</v>
      </c>
      <c r="DE206" s="60">
        <v>70</v>
      </c>
      <c r="DI206">
        <v>8.4</v>
      </c>
    </row>
    <row r="207" spans="1:109" ht="19.5" customHeight="1">
      <c r="A207" s="166"/>
      <c r="B207" s="167"/>
      <c r="C207" s="167"/>
      <c r="D207" s="168"/>
      <c r="E207" s="54"/>
      <c r="F207" s="53"/>
      <c r="G207" s="31"/>
      <c r="H207" s="36"/>
      <c r="I207" s="36"/>
      <c r="J207" s="36"/>
      <c r="K207" s="36"/>
      <c r="L207" s="36"/>
      <c r="M207" s="31"/>
      <c r="N207" s="31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16"/>
      <c r="AI207" s="16"/>
      <c r="AP207">
        <v>204</v>
      </c>
      <c r="AQ207" s="60" t="s">
        <v>287</v>
      </c>
      <c r="AT207">
        <v>70.5</v>
      </c>
      <c r="BC207">
        <v>3</v>
      </c>
      <c r="BL207">
        <v>1</v>
      </c>
      <c r="CI207">
        <v>48</v>
      </c>
      <c r="CM207">
        <v>8</v>
      </c>
      <c r="DE207" s="60">
        <v>100</v>
      </c>
    </row>
    <row r="208" spans="1:154" ht="19.5" customHeight="1">
      <c r="A208" s="166"/>
      <c r="B208" s="167"/>
      <c r="C208" s="167"/>
      <c r="D208" s="168"/>
      <c r="E208" s="54"/>
      <c r="F208" s="53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16"/>
      <c r="AI208" s="16"/>
      <c r="AP208">
        <v>205</v>
      </c>
      <c r="AQ208" s="60" t="s">
        <v>288</v>
      </c>
      <c r="AT208">
        <v>70.5</v>
      </c>
      <c r="BC208">
        <v>3</v>
      </c>
      <c r="BM208">
        <v>4</v>
      </c>
      <c r="BW208">
        <v>2</v>
      </c>
      <c r="CI208">
        <v>12</v>
      </c>
      <c r="CO208">
        <v>50</v>
      </c>
      <c r="DE208" s="60">
        <v>100</v>
      </c>
      <c r="EX208">
        <v>1</v>
      </c>
    </row>
    <row r="209" spans="1:109" ht="19.5" customHeight="1">
      <c r="A209" s="166"/>
      <c r="B209" s="167"/>
      <c r="C209" s="167"/>
      <c r="D209" s="168"/>
      <c r="E209" s="54"/>
      <c r="F209" s="53"/>
      <c r="G209" s="31"/>
      <c r="H209" s="36"/>
      <c r="I209" s="36"/>
      <c r="J209" s="36"/>
      <c r="K209" s="36"/>
      <c r="L209" s="36"/>
      <c r="M209" s="31"/>
      <c r="N209" s="31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16"/>
      <c r="AI209" s="16"/>
      <c r="AP209">
        <v>206</v>
      </c>
      <c r="AQ209" s="60" t="s">
        <v>289</v>
      </c>
      <c r="AT209">
        <v>102</v>
      </c>
      <c r="BC209">
        <v>0.9</v>
      </c>
      <c r="BM209">
        <v>1.5</v>
      </c>
      <c r="BW209">
        <v>1.5</v>
      </c>
      <c r="CP209">
        <v>1.2</v>
      </c>
      <c r="DE209" s="60">
        <v>60</v>
      </c>
    </row>
    <row r="210" spans="1:145" ht="19.5" customHeight="1">
      <c r="A210" s="166"/>
      <c r="B210" s="167"/>
      <c r="C210" s="167"/>
      <c r="D210" s="168"/>
      <c r="E210" s="54"/>
      <c r="F210" s="53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16"/>
      <c r="AI210" s="16"/>
      <c r="AP210">
        <v>207</v>
      </c>
      <c r="AQ210" s="60" t="s">
        <v>291</v>
      </c>
      <c r="AT210">
        <v>108.8</v>
      </c>
      <c r="BC210">
        <v>2.3</v>
      </c>
      <c r="DE210" s="60">
        <v>75</v>
      </c>
      <c r="EO210">
        <v>0.2</v>
      </c>
    </row>
    <row r="211" spans="1:146" ht="19.5" customHeight="1">
      <c r="A211" s="166"/>
      <c r="B211" s="167"/>
      <c r="C211" s="167"/>
      <c r="D211" s="168"/>
      <c r="E211" s="54"/>
      <c r="F211" s="53"/>
      <c r="G211" s="31"/>
      <c r="H211" s="36"/>
      <c r="I211" s="36"/>
      <c r="J211" s="36"/>
      <c r="K211" s="36"/>
      <c r="L211" s="36"/>
      <c r="M211" s="31"/>
      <c r="N211" s="31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16"/>
      <c r="AI211" s="16"/>
      <c r="AP211">
        <v>208</v>
      </c>
      <c r="AQ211" s="60" t="s">
        <v>292</v>
      </c>
      <c r="AT211">
        <v>72.5</v>
      </c>
      <c r="BC211">
        <v>1.1</v>
      </c>
      <c r="BD211">
        <v>3.5</v>
      </c>
      <c r="BJ211">
        <v>0.1</v>
      </c>
      <c r="BL211">
        <v>3.6</v>
      </c>
      <c r="DE211" s="60">
        <v>70</v>
      </c>
      <c r="DH211">
        <v>0.7</v>
      </c>
      <c r="DI211">
        <v>10.5</v>
      </c>
      <c r="EP211">
        <v>0.1</v>
      </c>
    </row>
    <row r="212" spans="1:146" ht="19.5" customHeight="1">
      <c r="A212" s="166"/>
      <c r="B212" s="167"/>
      <c r="C212" s="167"/>
      <c r="D212" s="168"/>
      <c r="E212" s="54"/>
      <c r="F212" s="53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16"/>
      <c r="AI212" s="16"/>
      <c r="AP212">
        <v>209</v>
      </c>
      <c r="AQ212" s="60" t="s">
        <v>293</v>
      </c>
      <c r="AT212">
        <v>74.4</v>
      </c>
      <c r="BC212">
        <v>3.8</v>
      </c>
      <c r="CI212">
        <v>4.8</v>
      </c>
      <c r="CM212">
        <v>6</v>
      </c>
      <c r="DE212" s="60">
        <v>60</v>
      </c>
      <c r="DX212">
        <v>0.6</v>
      </c>
      <c r="EO212">
        <v>0.1</v>
      </c>
      <c r="EP212">
        <v>0.1</v>
      </c>
    </row>
    <row r="213" spans="1:113" ht="19.5" customHeight="1">
      <c r="A213" s="166"/>
      <c r="B213" s="167"/>
      <c r="C213" s="167"/>
      <c r="D213" s="168"/>
      <c r="E213" s="54"/>
      <c r="F213" s="53"/>
      <c r="G213" s="31"/>
      <c r="H213" s="36"/>
      <c r="I213" s="36"/>
      <c r="J213" s="36"/>
      <c r="K213" s="36"/>
      <c r="L213" s="36"/>
      <c r="M213" s="31"/>
      <c r="N213" s="31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16"/>
      <c r="AI213" s="16"/>
      <c r="AP213">
        <v>210</v>
      </c>
      <c r="AQ213" s="60" t="s">
        <v>294</v>
      </c>
      <c r="AT213">
        <v>70</v>
      </c>
      <c r="BC213">
        <v>1.3</v>
      </c>
      <c r="BD213">
        <v>6.8</v>
      </c>
      <c r="BJ213">
        <v>0.3</v>
      </c>
      <c r="BL213">
        <v>8.5</v>
      </c>
      <c r="CQ213">
        <v>8.5</v>
      </c>
      <c r="DE213" s="60">
        <v>85</v>
      </c>
      <c r="DI213">
        <v>8.5</v>
      </c>
    </row>
    <row r="214" spans="1:113" ht="19.5" customHeight="1">
      <c r="A214" s="169"/>
      <c r="B214" s="170"/>
      <c r="C214" s="170"/>
      <c r="D214" s="171"/>
      <c r="E214" s="54"/>
      <c r="F214" s="53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16"/>
      <c r="AI214" s="16"/>
      <c r="AP214">
        <v>211</v>
      </c>
      <c r="AQ214" s="60" t="s">
        <v>295</v>
      </c>
      <c r="AT214">
        <v>70</v>
      </c>
      <c r="BC214">
        <v>1.3</v>
      </c>
      <c r="BD214">
        <v>6.8</v>
      </c>
      <c r="BI214">
        <v>9.4</v>
      </c>
      <c r="BJ214">
        <v>0.2</v>
      </c>
      <c r="BL214">
        <v>7.8</v>
      </c>
      <c r="DE214" s="60">
        <v>90</v>
      </c>
      <c r="DI214">
        <v>17</v>
      </c>
    </row>
    <row r="215" spans="1:150" ht="19.5" customHeight="1">
      <c r="A215" s="54"/>
      <c r="B215" s="54"/>
      <c r="C215" s="54"/>
      <c r="D215" s="54"/>
      <c r="E215" s="54"/>
      <c r="F215" s="53"/>
      <c r="G215" s="31"/>
      <c r="H215" s="36"/>
      <c r="I215" s="36"/>
      <c r="J215" s="36"/>
      <c r="K215" s="36"/>
      <c r="L215" s="36"/>
      <c r="M215" s="31"/>
      <c r="N215" s="31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16"/>
      <c r="AI215" s="16"/>
      <c r="AP215">
        <v>212</v>
      </c>
      <c r="AQ215" s="60" t="s">
        <v>296</v>
      </c>
      <c r="AT215">
        <v>72.9</v>
      </c>
      <c r="BC215">
        <v>5.4</v>
      </c>
      <c r="CI215">
        <v>10.8</v>
      </c>
      <c r="DQ215">
        <v>86.4</v>
      </c>
      <c r="EP215">
        <v>0.2</v>
      </c>
      <c r="ET215">
        <v>34.2</v>
      </c>
    </row>
    <row r="216" spans="1:109" ht="19.5" customHeight="1">
      <c r="A216" s="54"/>
      <c r="B216" s="54"/>
      <c r="C216" s="54"/>
      <c r="D216" s="54"/>
      <c r="E216" s="54"/>
      <c r="F216" s="53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16"/>
      <c r="AI216" s="16"/>
      <c r="AP216">
        <v>213</v>
      </c>
      <c r="AQ216" s="60" t="s">
        <v>297</v>
      </c>
      <c r="AT216">
        <v>72.9</v>
      </c>
      <c r="BC216">
        <v>5.4</v>
      </c>
      <c r="BR216">
        <v>39.6</v>
      </c>
      <c r="CI216">
        <v>9.9</v>
      </c>
      <c r="CJ216">
        <v>12.6</v>
      </c>
      <c r="CM216">
        <v>6.3</v>
      </c>
      <c r="DE216" s="60">
        <v>180</v>
      </c>
    </row>
    <row r="217" spans="1:146" ht="19.5" customHeight="1">
      <c r="A217" s="54"/>
      <c r="B217" s="54"/>
      <c r="C217" s="54"/>
      <c r="D217" s="54"/>
      <c r="E217" s="54"/>
      <c r="F217" s="53"/>
      <c r="G217" s="31"/>
      <c r="H217" s="36"/>
      <c r="I217" s="36"/>
      <c r="J217" s="36"/>
      <c r="K217" s="36"/>
      <c r="L217" s="36"/>
      <c r="M217" s="31"/>
      <c r="N217" s="31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16"/>
      <c r="AI217" s="16"/>
      <c r="AP217">
        <v>214</v>
      </c>
      <c r="AQ217" s="60" t="s">
        <v>298</v>
      </c>
      <c r="AT217">
        <v>72.9</v>
      </c>
      <c r="BC217">
        <v>5.4</v>
      </c>
      <c r="BQ217">
        <v>39.6</v>
      </c>
      <c r="CI217">
        <v>15.3</v>
      </c>
      <c r="CJ217">
        <v>17.1</v>
      </c>
      <c r="CM217">
        <v>9</v>
      </c>
      <c r="DE217" s="60">
        <v>180</v>
      </c>
      <c r="DX217">
        <v>0.9</v>
      </c>
      <c r="EJ217">
        <v>0.5</v>
      </c>
      <c r="EP217">
        <v>0.2</v>
      </c>
    </row>
    <row r="218" spans="1:109" ht="19.5" customHeight="1">
      <c r="A218" s="54"/>
      <c r="B218" s="54"/>
      <c r="C218" s="54"/>
      <c r="D218" s="54"/>
      <c r="E218" s="54"/>
      <c r="F218" s="53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16"/>
      <c r="AI218" s="16"/>
      <c r="AP218">
        <v>215</v>
      </c>
      <c r="AQ218" s="60" t="s">
        <v>299</v>
      </c>
      <c r="AT218">
        <v>73.8</v>
      </c>
      <c r="BC218">
        <v>5.4</v>
      </c>
      <c r="BD218">
        <v>18</v>
      </c>
      <c r="CG218">
        <v>142.2</v>
      </c>
      <c r="CI218">
        <v>21.6</v>
      </c>
      <c r="DE218" s="60">
        <v>180</v>
      </c>
    </row>
    <row r="219" spans="1:109" ht="19.5" customHeight="1">
      <c r="A219" s="54"/>
      <c r="B219" s="54"/>
      <c r="C219" s="54"/>
      <c r="D219" s="54"/>
      <c r="E219" s="54"/>
      <c r="F219" s="53"/>
      <c r="G219" s="31"/>
      <c r="H219" s="36"/>
      <c r="I219" s="36"/>
      <c r="J219" s="36"/>
      <c r="K219" s="36"/>
      <c r="L219" s="36"/>
      <c r="M219" s="31"/>
      <c r="N219" s="31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16"/>
      <c r="AI219" s="16"/>
      <c r="AP219">
        <v>216</v>
      </c>
      <c r="AQ219" s="60" t="s">
        <v>300</v>
      </c>
      <c r="AT219">
        <v>75</v>
      </c>
      <c r="BC219">
        <v>4.5</v>
      </c>
      <c r="CH219">
        <v>88.5</v>
      </c>
      <c r="CI219">
        <v>18</v>
      </c>
      <c r="CJ219">
        <v>21</v>
      </c>
      <c r="CM219">
        <v>7.5</v>
      </c>
      <c r="DE219" s="60">
        <v>150</v>
      </c>
    </row>
    <row r="220" spans="1:111" ht="19.5" customHeight="1">
      <c r="A220" s="54"/>
      <c r="B220" s="54"/>
      <c r="C220" s="54"/>
      <c r="D220" s="54"/>
      <c r="E220" s="54"/>
      <c r="F220" s="53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16"/>
      <c r="AI220" s="16"/>
      <c r="AP220">
        <v>217</v>
      </c>
      <c r="AQ220" s="60" t="s">
        <v>301</v>
      </c>
      <c r="BC220">
        <v>2.3</v>
      </c>
      <c r="BJ220">
        <v>1</v>
      </c>
      <c r="CM220">
        <v>2.3</v>
      </c>
      <c r="DE220" s="60">
        <v>50</v>
      </c>
      <c r="DG220">
        <v>10</v>
      </c>
    </row>
    <row r="221" spans="1:109" ht="19.5" customHeight="1">
      <c r="A221" s="54"/>
      <c r="B221" s="54"/>
      <c r="C221" s="54"/>
      <c r="D221" s="54"/>
      <c r="E221" s="54"/>
      <c r="F221" s="53"/>
      <c r="G221" s="31"/>
      <c r="H221" s="36"/>
      <c r="I221" s="36"/>
      <c r="J221" s="36"/>
      <c r="K221" s="36"/>
      <c r="L221" s="36"/>
      <c r="M221" s="31"/>
      <c r="N221" s="31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16"/>
      <c r="AI221" s="16"/>
      <c r="AP221">
        <v>218</v>
      </c>
      <c r="AQ221" s="60" t="s">
        <v>302</v>
      </c>
      <c r="CD221">
        <v>200</v>
      </c>
      <c r="DE221" s="60">
        <v>200</v>
      </c>
    </row>
    <row r="222" spans="1:109" ht="19.5" customHeight="1">
      <c r="A222" s="246" t="s">
        <v>101</v>
      </c>
      <c r="B222" s="247"/>
      <c r="C222" s="247"/>
      <c r="D222" s="248"/>
      <c r="E222" s="54"/>
      <c r="F222" s="53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16"/>
      <c r="AI222" s="16"/>
      <c r="AP222">
        <v>219</v>
      </c>
      <c r="AQ222" s="60" t="s">
        <v>303</v>
      </c>
      <c r="CF222">
        <v>85.5</v>
      </c>
      <c r="DE222" s="60">
        <v>75</v>
      </c>
    </row>
    <row r="223" spans="1:109" ht="19.5" customHeight="1">
      <c r="A223" s="249"/>
      <c r="B223" s="250"/>
      <c r="C223" s="250"/>
      <c r="D223" s="251"/>
      <c r="E223" s="55"/>
      <c r="F223" s="53"/>
      <c r="G223" s="31"/>
      <c r="H223" s="36"/>
      <c r="I223" s="36"/>
      <c r="J223" s="36"/>
      <c r="K223" s="36"/>
      <c r="L223" s="36"/>
      <c r="M223" s="31"/>
      <c r="N223" s="31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16"/>
      <c r="AI223" s="16"/>
      <c r="AP223">
        <v>220</v>
      </c>
      <c r="AQ223" s="60" t="s">
        <v>304</v>
      </c>
      <c r="AY223">
        <v>125.3</v>
      </c>
      <c r="DE223" s="60">
        <v>75</v>
      </c>
    </row>
    <row r="224" spans="1:131" ht="19.5" customHeight="1">
      <c r="A224" s="249"/>
      <c r="B224" s="250"/>
      <c r="C224" s="250"/>
      <c r="D224" s="251"/>
      <c r="E224" s="55"/>
      <c r="F224" s="53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16"/>
      <c r="AI224" s="16"/>
      <c r="AP224">
        <v>221</v>
      </c>
      <c r="AQ224" s="60" t="s">
        <v>175</v>
      </c>
      <c r="DE224" s="60">
        <v>75</v>
      </c>
      <c r="EA224">
        <v>11.8</v>
      </c>
    </row>
    <row r="225" spans="1:109" ht="19.5" customHeight="1">
      <c r="A225" s="249"/>
      <c r="B225" s="250"/>
      <c r="C225" s="250"/>
      <c r="D225" s="251"/>
      <c r="E225" s="54"/>
      <c r="F225" s="53"/>
      <c r="G225" s="31"/>
      <c r="H225" s="36"/>
      <c r="I225" s="36"/>
      <c r="J225" s="36"/>
      <c r="K225" s="36"/>
      <c r="L225" s="36"/>
      <c r="M225" s="31"/>
      <c r="N225" s="31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16"/>
      <c r="AI225" s="16"/>
      <c r="AP225">
        <v>222</v>
      </c>
      <c r="AQ225" s="60" t="s">
        <v>305</v>
      </c>
      <c r="BC225">
        <v>2</v>
      </c>
      <c r="BG225">
        <v>2</v>
      </c>
      <c r="BJ225">
        <v>0.1</v>
      </c>
      <c r="BQ225">
        <v>27</v>
      </c>
      <c r="BW225">
        <v>4</v>
      </c>
      <c r="CC225">
        <v>10</v>
      </c>
      <c r="CT225">
        <v>40</v>
      </c>
      <c r="DE225" s="60">
        <v>100</v>
      </c>
    </row>
    <row r="226" spans="1:109" ht="19.5" customHeight="1">
      <c r="A226" s="249"/>
      <c r="B226" s="250"/>
      <c r="C226" s="250"/>
      <c r="D226" s="251"/>
      <c r="E226" s="54"/>
      <c r="F226" s="53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16"/>
      <c r="AI226" s="16"/>
      <c r="AP226">
        <v>223</v>
      </c>
      <c r="AQ226" s="60" t="s">
        <v>306</v>
      </c>
      <c r="BE226">
        <v>50</v>
      </c>
      <c r="BW226">
        <v>5</v>
      </c>
      <c r="DE226" s="60">
        <v>50</v>
      </c>
    </row>
    <row r="227" spans="1:109" ht="19.5" customHeight="1">
      <c r="A227" s="249"/>
      <c r="B227" s="250"/>
      <c r="C227" s="250"/>
      <c r="D227" s="251"/>
      <c r="E227" s="56"/>
      <c r="F227" s="53"/>
      <c r="G227" s="31"/>
      <c r="H227" s="36"/>
      <c r="I227" s="36"/>
      <c r="J227" s="36"/>
      <c r="K227" s="36"/>
      <c r="L227" s="36"/>
      <c r="M227" s="31"/>
      <c r="N227" s="31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16"/>
      <c r="AI227" s="16"/>
      <c r="AP227">
        <v>224</v>
      </c>
      <c r="AQ227" s="60" t="s">
        <v>307</v>
      </c>
      <c r="BD227">
        <v>66.7</v>
      </c>
      <c r="BJ227">
        <v>0.1</v>
      </c>
      <c r="BW227">
        <v>5</v>
      </c>
      <c r="CQ227">
        <v>20</v>
      </c>
      <c r="DB227">
        <v>0.4</v>
      </c>
      <c r="DE227" s="60">
        <v>100</v>
      </c>
    </row>
    <row r="228" spans="1:109" ht="19.5" customHeight="1">
      <c r="A228" s="249"/>
      <c r="B228" s="250"/>
      <c r="C228" s="250"/>
      <c r="D228" s="251"/>
      <c r="E228" s="56"/>
      <c r="F228" s="53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16"/>
      <c r="AI228" s="16"/>
      <c r="AP228">
        <v>225</v>
      </c>
      <c r="AQ228" s="60" t="s">
        <v>308</v>
      </c>
      <c r="AZ228">
        <v>0.89</v>
      </c>
      <c r="BD228">
        <v>46</v>
      </c>
      <c r="BI228">
        <v>10</v>
      </c>
      <c r="BL228">
        <v>2.5</v>
      </c>
      <c r="BS228">
        <v>18.5</v>
      </c>
      <c r="DE228" s="60">
        <v>100</v>
      </c>
    </row>
    <row r="229" spans="1:109" ht="19.5" customHeight="1">
      <c r="A229" s="249"/>
      <c r="B229" s="250"/>
      <c r="C229" s="250"/>
      <c r="D229" s="251"/>
      <c r="E229" s="54"/>
      <c r="F229" s="53"/>
      <c r="G229" s="31"/>
      <c r="H229" s="36"/>
      <c r="I229" s="36"/>
      <c r="J229" s="36"/>
      <c r="K229" s="36"/>
      <c r="L229" s="36"/>
      <c r="M229" s="31"/>
      <c r="N229" s="31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16"/>
      <c r="AI229" s="16"/>
      <c r="AP229">
        <v>226</v>
      </c>
      <c r="AQ229" s="60" t="s">
        <v>309</v>
      </c>
      <c r="AY229">
        <v>16</v>
      </c>
      <c r="AZ229">
        <v>2</v>
      </c>
      <c r="BC229">
        <v>1</v>
      </c>
      <c r="BF229">
        <v>70</v>
      </c>
      <c r="BL229">
        <v>4.5</v>
      </c>
      <c r="BO229">
        <v>20</v>
      </c>
      <c r="BW229">
        <v>5</v>
      </c>
      <c r="DD229">
        <v>0.5</v>
      </c>
      <c r="DE229" s="60">
        <v>100</v>
      </c>
    </row>
    <row r="230" spans="1:109" ht="19.5" customHeight="1">
      <c r="A230" s="249"/>
      <c r="B230" s="250"/>
      <c r="C230" s="250"/>
      <c r="D230" s="251"/>
      <c r="E230" s="54"/>
      <c r="F230" s="53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16"/>
      <c r="AI230" s="16"/>
      <c r="AP230">
        <v>227</v>
      </c>
      <c r="AQ230" s="60" t="s">
        <v>310</v>
      </c>
      <c r="BD230">
        <v>85</v>
      </c>
      <c r="BM230">
        <v>10</v>
      </c>
      <c r="BW230">
        <v>5</v>
      </c>
      <c r="DB230">
        <v>0.4</v>
      </c>
      <c r="DE230" s="60">
        <v>100</v>
      </c>
    </row>
    <row r="231" spans="1:109" ht="19.5" customHeight="1">
      <c r="A231" s="249"/>
      <c r="B231" s="250"/>
      <c r="C231" s="250"/>
      <c r="D231" s="251"/>
      <c r="E231" s="54"/>
      <c r="F231" s="53"/>
      <c r="G231" s="31"/>
      <c r="H231" s="36"/>
      <c r="I231" s="36"/>
      <c r="J231" s="36"/>
      <c r="K231" s="36"/>
      <c r="L231" s="36"/>
      <c r="M231" s="31"/>
      <c r="N231" s="31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16"/>
      <c r="AI231" s="16"/>
      <c r="AP231">
        <v>228</v>
      </c>
      <c r="AQ231" s="60" t="s">
        <v>311</v>
      </c>
      <c r="BC231">
        <v>6</v>
      </c>
      <c r="BG231">
        <v>15</v>
      </c>
      <c r="BJ231">
        <v>0.1</v>
      </c>
      <c r="BL231">
        <v>27</v>
      </c>
      <c r="BW231">
        <v>5</v>
      </c>
      <c r="CJ231">
        <v>42</v>
      </c>
      <c r="CV231">
        <v>10</v>
      </c>
      <c r="DD231">
        <v>0.5</v>
      </c>
      <c r="DE231" s="60">
        <v>100</v>
      </c>
    </row>
    <row r="232" spans="1:109" ht="19.5" customHeight="1">
      <c r="A232" s="249"/>
      <c r="B232" s="250"/>
      <c r="C232" s="250"/>
      <c r="D232" s="251"/>
      <c r="E232" s="54"/>
      <c r="F232" s="53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16"/>
      <c r="AI232" s="16"/>
      <c r="AP232">
        <v>229</v>
      </c>
      <c r="AQ232" s="60" t="s">
        <v>312</v>
      </c>
      <c r="BC232">
        <v>6</v>
      </c>
      <c r="BJ232">
        <v>0.1</v>
      </c>
      <c r="BL232">
        <v>31.2</v>
      </c>
      <c r="BW232">
        <v>5</v>
      </c>
      <c r="CO232">
        <v>84.1</v>
      </c>
      <c r="DD232">
        <v>1.4</v>
      </c>
      <c r="DE232" s="60">
        <v>100</v>
      </c>
    </row>
    <row r="233" spans="1:109" ht="19.5" customHeight="1">
      <c r="A233" s="249"/>
      <c r="B233" s="250"/>
      <c r="C233" s="250"/>
      <c r="D233" s="251"/>
      <c r="E233" s="54"/>
      <c r="F233" s="53"/>
      <c r="G233" s="31"/>
      <c r="H233" s="36"/>
      <c r="I233" s="36"/>
      <c r="J233" s="36"/>
      <c r="K233" s="36"/>
      <c r="L233" s="36"/>
      <c r="M233" s="31"/>
      <c r="N233" s="31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16"/>
      <c r="AI233" s="16"/>
      <c r="AP233">
        <v>230</v>
      </c>
      <c r="AQ233" s="60" t="s">
        <v>313</v>
      </c>
      <c r="BG233">
        <v>10</v>
      </c>
      <c r="BH233">
        <v>40</v>
      </c>
      <c r="BJ233">
        <v>0.1</v>
      </c>
      <c r="BM233">
        <v>1</v>
      </c>
      <c r="BW233">
        <v>5</v>
      </c>
      <c r="CF233">
        <v>80</v>
      </c>
      <c r="DB233">
        <v>0.1</v>
      </c>
      <c r="DE233" s="60">
        <v>100</v>
      </c>
    </row>
    <row r="234" spans="1:134" ht="19.5" customHeight="1">
      <c r="A234" s="249"/>
      <c r="B234" s="250"/>
      <c r="C234" s="250"/>
      <c r="D234" s="251"/>
      <c r="E234" s="54"/>
      <c r="F234" s="53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16"/>
      <c r="AI234" s="16"/>
      <c r="AP234">
        <v>231</v>
      </c>
      <c r="AQ234" s="60" t="s">
        <v>314</v>
      </c>
      <c r="BB234">
        <v>4</v>
      </c>
      <c r="BW234">
        <v>5</v>
      </c>
      <c r="CF234">
        <v>66.7</v>
      </c>
      <c r="DE234" s="60">
        <v>100</v>
      </c>
      <c r="ED234">
        <v>9.1</v>
      </c>
    </row>
    <row r="235" spans="1:167" ht="19.5" customHeight="1">
      <c r="A235" s="249"/>
      <c r="B235" s="250"/>
      <c r="C235" s="250"/>
      <c r="D235" s="251"/>
      <c r="E235" s="54"/>
      <c r="F235" s="53"/>
      <c r="G235" s="31"/>
      <c r="H235" s="36"/>
      <c r="I235" s="36"/>
      <c r="J235" s="36"/>
      <c r="K235" s="36"/>
      <c r="L235" s="36"/>
      <c r="M235" s="31"/>
      <c r="N235" s="31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16"/>
      <c r="AI235" s="16"/>
      <c r="AP235">
        <v>232</v>
      </c>
      <c r="AQ235" s="60" t="s">
        <v>328</v>
      </c>
      <c r="BA235">
        <v>1.4</v>
      </c>
      <c r="BC235">
        <v>36</v>
      </c>
      <c r="BL235">
        <v>80.4</v>
      </c>
      <c r="DE235" s="60">
        <v>60</v>
      </c>
      <c r="FK235">
        <v>7.5</v>
      </c>
    </row>
    <row r="236" spans="1:112" ht="19.5" customHeight="1">
      <c r="A236" s="249"/>
      <c r="B236" s="250"/>
      <c r="C236" s="250"/>
      <c r="D236" s="251"/>
      <c r="E236" s="54"/>
      <c r="F236" s="53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16"/>
      <c r="AI236" s="16"/>
      <c r="AP236">
        <v>233</v>
      </c>
      <c r="AQ236" s="60" t="s">
        <v>316</v>
      </c>
      <c r="BC236">
        <v>7.2</v>
      </c>
      <c r="BD236">
        <v>7.2</v>
      </c>
      <c r="BJ236">
        <v>0.2</v>
      </c>
      <c r="BL236">
        <v>36</v>
      </c>
      <c r="BW236">
        <v>3</v>
      </c>
      <c r="DD236">
        <v>0.9</v>
      </c>
      <c r="DE236" s="60">
        <v>60</v>
      </c>
      <c r="DH236">
        <v>1.2</v>
      </c>
    </row>
    <row r="237" spans="1:109" ht="19.5" customHeight="1">
      <c r="A237" s="249"/>
      <c r="B237" s="250"/>
      <c r="C237" s="250"/>
      <c r="D237" s="251"/>
      <c r="E237" s="54"/>
      <c r="F237" s="53"/>
      <c r="G237" s="31"/>
      <c r="H237" s="36"/>
      <c r="I237" s="36"/>
      <c r="J237" s="36"/>
      <c r="K237" s="36"/>
      <c r="L237" s="36"/>
      <c r="M237" s="31"/>
      <c r="N237" s="31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16"/>
      <c r="AI237" s="16"/>
      <c r="AP237">
        <v>234</v>
      </c>
      <c r="AQ237" s="60" t="s">
        <v>317</v>
      </c>
      <c r="BH237">
        <v>83.7</v>
      </c>
      <c r="BJ237">
        <v>0.1</v>
      </c>
      <c r="BL237">
        <v>11.5</v>
      </c>
      <c r="BW237">
        <v>5</v>
      </c>
      <c r="DE237" s="60">
        <v>100</v>
      </c>
    </row>
    <row r="238" spans="1:168" ht="19.5" customHeight="1">
      <c r="A238" s="249"/>
      <c r="B238" s="250"/>
      <c r="C238" s="250"/>
      <c r="D238" s="251"/>
      <c r="E238" s="54"/>
      <c r="F238" s="53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16"/>
      <c r="AI238" s="16"/>
      <c r="AP238">
        <v>235</v>
      </c>
      <c r="AQ238" s="60" t="s">
        <v>318</v>
      </c>
      <c r="AZ238">
        <v>1.9</v>
      </c>
      <c r="BC238">
        <v>9.6</v>
      </c>
      <c r="BJ238">
        <v>0.1</v>
      </c>
      <c r="BL238">
        <v>15.3</v>
      </c>
      <c r="DD238" t="s">
        <v>320</v>
      </c>
      <c r="DE238" s="60">
        <v>60</v>
      </c>
      <c r="FL238">
        <v>22.2</v>
      </c>
    </row>
    <row r="239" spans="1:167" ht="19.5" customHeight="1">
      <c r="A239" s="249"/>
      <c r="B239" s="250"/>
      <c r="C239" s="250"/>
      <c r="D239" s="251"/>
      <c r="E239" s="56"/>
      <c r="F239" s="53"/>
      <c r="G239" s="31"/>
      <c r="H239" s="31"/>
      <c r="I239" s="31"/>
      <c r="J239" s="31"/>
      <c r="K239" s="31"/>
      <c r="L239" s="31"/>
      <c r="M239" s="31"/>
      <c r="N239" s="31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16"/>
      <c r="AI239" s="16"/>
      <c r="AP239">
        <v>236</v>
      </c>
      <c r="AQ239" s="60" t="s">
        <v>321</v>
      </c>
      <c r="BC239">
        <v>4.8</v>
      </c>
      <c r="BE239">
        <v>24</v>
      </c>
      <c r="BG239">
        <v>12</v>
      </c>
      <c r="BJ239">
        <v>0.1</v>
      </c>
      <c r="BL239">
        <v>18</v>
      </c>
      <c r="BW239">
        <v>13.8</v>
      </c>
      <c r="CV239">
        <v>14</v>
      </c>
      <c r="CZ239">
        <v>0.4</v>
      </c>
      <c r="DE239" s="60">
        <v>60</v>
      </c>
      <c r="DZ239">
        <v>4.5</v>
      </c>
      <c r="FK239">
        <v>3</v>
      </c>
    </row>
    <row r="240" spans="1:134" ht="19.5" customHeight="1">
      <c r="A240" s="249"/>
      <c r="B240" s="250"/>
      <c r="C240" s="250"/>
      <c r="D240" s="251"/>
      <c r="E240" s="56"/>
      <c r="F240" s="53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16"/>
      <c r="AI240" s="16"/>
      <c r="AP240">
        <v>237</v>
      </c>
      <c r="AQ240" s="60" t="s">
        <v>322</v>
      </c>
      <c r="BC240">
        <v>6</v>
      </c>
      <c r="BD240">
        <v>12</v>
      </c>
      <c r="BG240">
        <v>12</v>
      </c>
      <c r="BL240">
        <v>27</v>
      </c>
      <c r="BW240">
        <v>6</v>
      </c>
      <c r="CZ240">
        <v>0.6</v>
      </c>
      <c r="DE240" s="60">
        <v>60</v>
      </c>
      <c r="ED240">
        <v>0.4</v>
      </c>
    </row>
    <row r="241" spans="1:169" ht="19.5" customHeight="1">
      <c r="A241" s="249"/>
      <c r="B241" s="250"/>
      <c r="C241" s="250"/>
      <c r="D241" s="251"/>
      <c r="E241" s="54"/>
      <c r="F241" s="53"/>
      <c r="G241" s="31"/>
      <c r="H241" s="31"/>
      <c r="I241" s="31"/>
      <c r="J241" s="31"/>
      <c r="K241" s="31"/>
      <c r="L241" s="31"/>
      <c r="M241" s="31"/>
      <c r="N241" s="31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16"/>
      <c r="AI241" s="16"/>
      <c r="AP241">
        <v>238</v>
      </c>
      <c r="AQ241" s="60" t="s">
        <v>323</v>
      </c>
      <c r="BJ241">
        <v>0.1</v>
      </c>
      <c r="BU241">
        <v>22.5</v>
      </c>
      <c r="DE241" s="60">
        <v>75</v>
      </c>
      <c r="FM241">
        <v>37.5</v>
      </c>
    </row>
    <row r="242" spans="1:134" ht="19.5" customHeight="1">
      <c r="A242" s="249"/>
      <c r="B242" s="250"/>
      <c r="C242" s="250"/>
      <c r="D242" s="251"/>
      <c r="E242" s="54"/>
      <c r="F242" s="53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16"/>
      <c r="AI242" s="16"/>
      <c r="AP242">
        <v>239</v>
      </c>
      <c r="AQ242" s="60" t="s">
        <v>325</v>
      </c>
      <c r="BC242">
        <v>3</v>
      </c>
      <c r="BG242">
        <v>10</v>
      </c>
      <c r="BJ242">
        <v>0.4</v>
      </c>
      <c r="BO242">
        <v>5</v>
      </c>
      <c r="BW242">
        <v>5</v>
      </c>
      <c r="CF242">
        <v>40</v>
      </c>
      <c r="CJ242">
        <v>72</v>
      </c>
      <c r="DE242" s="60">
        <v>100</v>
      </c>
      <c r="ED242">
        <v>0.3</v>
      </c>
    </row>
    <row r="243" spans="1:113" ht="19.5" customHeight="1">
      <c r="A243" s="249"/>
      <c r="B243" s="250"/>
      <c r="C243" s="250"/>
      <c r="D243" s="251"/>
      <c r="E243" s="54"/>
      <c r="F243" s="53"/>
      <c r="G243" s="31"/>
      <c r="H243" s="31"/>
      <c r="I243" s="31"/>
      <c r="J243" s="31"/>
      <c r="K243" s="31"/>
      <c r="L243" s="31"/>
      <c r="M243" s="31"/>
      <c r="N243" s="31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16"/>
      <c r="AI243" s="16"/>
      <c r="AP243">
        <v>240</v>
      </c>
      <c r="AQ243" s="60" t="s">
        <v>326</v>
      </c>
      <c r="BC243">
        <v>3</v>
      </c>
      <c r="BG243">
        <v>3</v>
      </c>
      <c r="BH243">
        <v>61</v>
      </c>
      <c r="BJ243">
        <v>0.2</v>
      </c>
      <c r="BO243">
        <v>4.5</v>
      </c>
      <c r="BW243">
        <v>3</v>
      </c>
      <c r="CF243">
        <v>10</v>
      </c>
      <c r="CJ243">
        <v>10</v>
      </c>
      <c r="DB243">
        <v>0.2</v>
      </c>
      <c r="DE243" s="60">
        <v>100</v>
      </c>
      <c r="DI243">
        <v>3</v>
      </c>
    </row>
    <row r="244" spans="1:140" ht="19.5" customHeight="1">
      <c r="A244" s="249"/>
      <c r="B244" s="250"/>
      <c r="C244" s="250"/>
      <c r="D244" s="251"/>
      <c r="E244" s="54"/>
      <c r="F244" s="53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16"/>
      <c r="AI244" s="16"/>
      <c r="AP244">
        <v>241</v>
      </c>
      <c r="AQ244" s="60" t="s">
        <v>327</v>
      </c>
      <c r="BC244">
        <v>1</v>
      </c>
      <c r="BG244">
        <v>3</v>
      </c>
      <c r="BH244">
        <v>71</v>
      </c>
      <c r="BO244">
        <v>6</v>
      </c>
      <c r="BW244">
        <v>3</v>
      </c>
      <c r="DE244" s="60">
        <v>100</v>
      </c>
      <c r="DI244">
        <v>3</v>
      </c>
      <c r="EJ244">
        <v>0.5</v>
      </c>
    </row>
    <row r="245" spans="1:140" ht="19.5" customHeight="1">
      <c r="A245" s="249"/>
      <c r="B245" s="250"/>
      <c r="C245" s="250"/>
      <c r="D245" s="251"/>
      <c r="E245" s="54"/>
      <c r="F245" s="53"/>
      <c r="G245" s="31"/>
      <c r="H245" s="36"/>
      <c r="I245" s="36"/>
      <c r="J245" s="36"/>
      <c r="K245" s="36"/>
      <c r="L245" s="36"/>
      <c r="M245" s="31"/>
      <c r="N245" s="31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16"/>
      <c r="AI245" s="16"/>
      <c r="AP245">
        <v>242</v>
      </c>
      <c r="AQ245" s="60" t="s">
        <v>329</v>
      </c>
      <c r="AY245">
        <v>50</v>
      </c>
      <c r="BC245">
        <v>1</v>
      </c>
      <c r="BG245">
        <v>3</v>
      </c>
      <c r="BH245">
        <v>51</v>
      </c>
      <c r="BO245">
        <v>4.5</v>
      </c>
      <c r="BW245">
        <v>3</v>
      </c>
      <c r="DB245">
        <v>0.2</v>
      </c>
      <c r="DE245" s="60">
        <v>100</v>
      </c>
      <c r="DI245">
        <v>3</v>
      </c>
      <c r="EJ245">
        <v>0.5</v>
      </c>
    </row>
    <row r="246" spans="1:109" ht="19.5" customHeight="1">
      <c r="A246" s="249"/>
      <c r="B246" s="250"/>
      <c r="C246" s="250"/>
      <c r="D246" s="251"/>
      <c r="E246" s="54"/>
      <c r="F246" s="53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16"/>
      <c r="AI246" s="16"/>
      <c r="AP246">
        <v>243</v>
      </c>
      <c r="AQ246" s="60" t="s">
        <v>330</v>
      </c>
      <c r="AZ246">
        <v>3</v>
      </c>
      <c r="BG246">
        <v>10</v>
      </c>
      <c r="BH246">
        <v>60</v>
      </c>
      <c r="BJ246">
        <v>0.1</v>
      </c>
      <c r="BL246">
        <v>3</v>
      </c>
      <c r="BM246">
        <v>4</v>
      </c>
      <c r="BW246">
        <v>5</v>
      </c>
      <c r="CJ246">
        <v>36</v>
      </c>
      <c r="DB246">
        <v>0.1</v>
      </c>
      <c r="DE246" s="60">
        <v>100</v>
      </c>
    </row>
    <row r="247" spans="1:151" ht="19.5" customHeight="1">
      <c r="A247" s="249"/>
      <c r="B247" s="250"/>
      <c r="C247" s="250"/>
      <c r="D247" s="251"/>
      <c r="E247" s="54"/>
      <c r="F247" s="53"/>
      <c r="G247" s="31"/>
      <c r="H247" s="36"/>
      <c r="I247" s="36"/>
      <c r="J247" s="36"/>
      <c r="K247" s="36"/>
      <c r="L247" s="36"/>
      <c r="M247" s="31"/>
      <c r="N247" s="31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16"/>
      <c r="AI247" s="16"/>
      <c r="AP247">
        <v>244</v>
      </c>
      <c r="AQ247" s="60" t="s">
        <v>331</v>
      </c>
      <c r="BC247">
        <v>5</v>
      </c>
      <c r="CG247">
        <v>58</v>
      </c>
      <c r="CI247">
        <v>9.5</v>
      </c>
      <c r="CJ247">
        <v>17.5</v>
      </c>
      <c r="CM247">
        <v>5</v>
      </c>
      <c r="DE247" s="60">
        <v>100</v>
      </c>
      <c r="DX247">
        <v>0.8</v>
      </c>
      <c r="EO247">
        <v>0.3</v>
      </c>
      <c r="EP247">
        <v>0.3</v>
      </c>
      <c r="EU247">
        <v>18</v>
      </c>
    </row>
    <row r="248" spans="1:109" ht="19.5" customHeight="1">
      <c r="A248" s="249"/>
      <c r="B248" s="250"/>
      <c r="C248" s="250"/>
      <c r="D248" s="251"/>
      <c r="E248" s="54"/>
      <c r="F248" s="53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16"/>
      <c r="AI248" s="16"/>
      <c r="AP248">
        <v>245</v>
      </c>
      <c r="AQ248" s="60" t="s">
        <v>419</v>
      </c>
      <c r="AR248">
        <v>40.4</v>
      </c>
      <c r="BC248">
        <v>3</v>
      </c>
      <c r="BG248">
        <v>8</v>
      </c>
      <c r="BR248">
        <v>10.2</v>
      </c>
      <c r="CH248">
        <v>38</v>
      </c>
      <c r="CI248">
        <v>8</v>
      </c>
      <c r="CJ248">
        <v>8</v>
      </c>
      <c r="CM248">
        <v>5</v>
      </c>
      <c r="DE248" s="60">
        <v>100</v>
      </c>
    </row>
    <row r="249" spans="1:109" ht="19.5" customHeight="1">
      <c r="A249" s="249"/>
      <c r="B249" s="250"/>
      <c r="C249" s="250"/>
      <c r="D249" s="251"/>
      <c r="E249" s="54"/>
      <c r="F249" s="53"/>
      <c r="G249" s="31"/>
      <c r="H249" s="36"/>
      <c r="I249" s="36"/>
      <c r="J249" s="36"/>
      <c r="K249" s="36"/>
      <c r="L249" s="36"/>
      <c r="M249" s="31"/>
      <c r="N249" s="31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16"/>
      <c r="AI249" s="16"/>
      <c r="AP249">
        <v>246</v>
      </c>
      <c r="AQ249" s="60" t="s">
        <v>420</v>
      </c>
      <c r="BC249">
        <v>3.4</v>
      </c>
      <c r="BD249">
        <v>11.3</v>
      </c>
      <c r="BJ249">
        <v>1.5</v>
      </c>
      <c r="BL249">
        <v>7.5</v>
      </c>
      <c r="DE249" s="60">
        <v>75</v>
      </c>
    </row>
    <row r="250" spans="1:109" ht="19.5" customHeight="1">
      <c r="A250" s="249"/>
      <c r="B250" s="250"/>
      <c r="C250" s="250"/>
      <c r="D250" s="251"/>
      <c r="E250" s="54"/>
      <c r="F250" s="53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16"/>
      <c r="AI250" s="16"/>
      <c r="AP250">
        <v>246</v>
      </c>
      <c r="AQ250" s="60" t="s">
        <v>421</v>
      </c>
      <c r="BC250">
        <v>3.4</v>
      </c>
      <c r="BD250">
        <v>11.3</v>
      </c>
      <c r="BJ250">
        <v>1.5</v>
      </c>
      <c r="BL250">
        <v>11.3</v>
      </c>
      <c r="DE250" s="60">
        <v>75</v>
      </c>
    </row>
    <row r="251" spans="1:109" ht="19.5" customHeight="1">
      <c r="A251" s="249"/>
      <c r="B251" s="250"/>
      <c r="C251" s="250"/>
      <c r="D251" s="251"/>
      <c r="E251" s="54"/>
      <c r="F251" s="53"/>
      <c r="G251" s="31"/>
      <c r="H251" s="36"/>
      <c r="I251" s="36"/>
      <c r="J251" s="36"/>
      <c r="K251" s="36"/>
      <c r="L251" s="36"/>
      <c r="M251" s="31"/>
      <c r="N251" s="31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16"/>
      <c r="AI251" s="16"/>
      <c r="AP251">
        <v>247</v>
      </c>
      <c r="AQ251" s="60" t="s">
        <v>422</v>
      </c>
      <c r="BC251">
        <v>3.4</v>
      </c>
      <c r="BD251">
        <v>11.3</v>
      </c>
      <c r="BJ251">
        <v>1.5</v>
      </c>
      <c r="BM251">
        <v>3.8</v>
      </c>
      <c r="DE251" s="60">
        <v>75</v>
      </c>
    </row>
    <row r="252" spans="1:109" ht="19.5" customHeight="1">
      <c r="A252" s="249"/>
      <c r="B252" s="250"/>
      <c r="C252" s="250"/>
      <c r="D252" s="251"/>
      <c r="E252" s="54"/>
      <c r="F252" s="53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16"/>
      <c r="AI252" s="16"/>
      <c r="AP252">
        <v>248</v>
      </c>
      <c r="AQ252" s="60" t="s">
        <v>423</v>
      </c>
      <c r="BC252">
        <v>3.4</v>
      </c>
      <c r="BD252">
        <v>11.3</v>
      </c>
      <c r="BJ252">
        <v>1.5</v>
      </c>
      <c r="BM252">
        <v>3.8</v>
      </c>
      <c r="DE252" s="60">
        <v>75</v>
      </c>
    </row>
    <row r="253" spans="1:112" ht="19.5" customHeight="1">
      <c r="A253" s="249"/>
      <c r="B253" s="250"/>
      <c r="C253" s="250"/>
      <c r="D253" s="251"/>
      <c r="E253" s="54"/>
      <c r="F253" s="53"/>
      <c r="G253" s="31"/>
      <c r="H253" s="36"/>
      <c r="I253" s="36"/>
      <c r="J253" s="36"/>
      <c r="K253" s="36"/>
      <c r="L253" s="36"/>
      <c r="M253" s="31"/>
      <c r="N253" s="31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16"/>
      <c r="AI253" s="16"/>
      <c r="AP253">
        <v>249</v>
      </c>
      <c r="AQ253" s="60" t="s">
        <v>424</v>
      </c>
      <c r="BC253">
        <v>8</v>
      </c>
      <c r="BJ253">
        <v>0.16</v>
      </c>
      <c r="BL253">
        <v>24</v>
      </c>
      <c r="BW253">
        <v>4.8</v>
      </c>
      <c r="CF253">
        <v>42.6</v>
      </c>
      <c r="DE253" s="60">
        <v>80</v>
      </c>
      <c r="DH253">
        <v>0.8</v>
      </c>
    </row>
    <row r="254" spans="1:157" ht="19.5" customHeight="1">
      <c r="A254" s="249"/>
      <c r="B254" s="250"/>
      <c r="C254" s="250"/>
      <c r="D254" s="251"/>
      <c r="E254" s="54"/>
      <c r="F254" s="53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16"/>
      <c r="AI254" s="16"/>
      <c r="AP254">
        <v>250</v>
      </c>
      <c r="AQ254" s="60" t="s">
        <v>425</v>
      </c>
      <c r="AS254">
        <v>48.3</v>
      </c>
      <c r="BC254">
        <v>2.5</v>
      </c>
      <c r="CI254">
        <v>5.5</v>
      </c>
      <c r="CJ254">
        <v>7</v>
      </c>
      <c r="CM254">
        <v>3</v>
      </c>
      <c r="DE254" s="60">
        <v>100</v>
      </c>
      <c r="FA254">
        <v>23.3</v>
      </c>
    </row>
    <row r="255" spans="1:128" ht="19.5" customHeight="1">
      <c r="A255" s="249"/>
      <c r="B255" s="250"/>
      <c r="C255" s="250"/>
      <c r="D255" s="251"/>
      <c r="E255" s="54"/>
      <c r="F255" s="53"/>
      <c r="G255" s="31"/>
      <c r="H255" s="36"/>
      <c r="I255" s="36"/>
      <c r="J255" s="36"/>
      <c r="K255" s="36"/>
      <c r="L255" s="36"/>
      <c r="M255" s="31"/>
      <c r="N255" s="31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16"/>
      <c r="AI255" s="16"/>
      <c r="AP255">
        <v>251</v>
      </c>
      <c r="AQ255" s="60" t="s">
        <v>426</v>
      </c>
      <c r="AR255">
        <v>60.3</v>
      </c>
      <c r="BC255">
        <v>2</v>
      </c>
      <c r="BW255">
        <v>3.3</v>
      </c>
      <c r="CI255">
        <v>25</v>
      </c>
      <c r="CM255">
        <v>10</v>
      </c>
      <c r="DE255" s="60">
        <v>100</v>
      </c>
      <c r="DX255">
        <v>2.3</v>
      </c>
    </row>
    <row r="256" spans="1:109" ht="19.5" customHeight="1">
      <c r="A256" s="249"/>
      <c r="B256" s="250"/>
      <c r="C256" s="250"/>
      <c r="D256" s="251"/>
      <c r="E256" s="54"/>
      <c r="F256" s="53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16"/>
      <c r="AI256" s="16"/>
      <c r="AP256">
        <v>252</v>
      </c>
      <c r="AQ256" s="60" t="s">
        <v>369</v>
      </c>
      <c r="AR256">
        <v>72.4</v>
      </c>
      <c r="BC256">
        <v>0.9</v>
      </c>
      <c r="BH256">
        <v>6</v>
      </c>
      <c r="BJ256">
        <v>0.1</v>
      </c>
      <c r="DE256" s="60">
        <v>60</v>
      </c>
    </row>
    <row r="257" spans="1:150" ht="19.5" customHeight="1">
      <c r="A257" s="252"/>
      <c r="B257" s="253"/>
      <c r="C257" s="253"/>
      <c r="D257" s="254"/>
      <c r="E257" s="54"/>
      <c r="F257" s="53"/>
      <c r="G257" s="31"/>
      <c r="H257" s="36"/>
      <c r="I257" s="36"/>
      <c r="J257" s="36"/>
      <c r="K257" s="36"/>
      <c r="L257" s="36"/>
      <c r="M257" s="31"/>
      <c r="N257" s="31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16"/>
      <c r="AI257" s="16"/>
      <c r="AP257">
        <v>253</v>
      </c>
      <c r="AQ257" s="60" t="s">
        <v>427</v>
      </c>
      <c r="AR257">
        <v>39.5</v>
      </c>
      <c r="BC257">
        <v>3</v>
      </c>
      <c r="CI257">
        <v>6</v>
      </c>
      <c r="DE257" s="60">
        <v>100</v>
      </c>
      <c r="DQ257">
        <v>48</v>
      </c>
      <c r="EP257">
        <v>0.1</v>
      </c>
      <c r="ET257">
        <v>19</v>
      </c>
    </row>
    <row r="258" spans="1:109" ht="19.5" customHeight="1">
      <c r="A258" s="54"/>
      <c r="B258" s="54"/>
      <c r="C258" s="54"/>
      <c r="D258" s="54"/>
      <c r="E258" s="54"/>
      <c r="F258" s="53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16"/>
      <c r="AI258" s="16"/>
      <c r="AP258">
        <v>254</v>
      </c>
      <c r="AQ258" s="60" t="s">
        <v>428</v>
      </c>
      <c r="AR258">
        <v>72.5</v>
      </c>
      <c r="BC258">
        <v>4.5</v>
      </c>
      <c r="CG258">
        <v>118.5</v>
      </c>
      <c r="CI258">
        <v>13.5</v>
      </c>
      <c r="CJ258">
        <v>20.3</v>
      </c>
      <c r="CM258">
        <v>7.5</v>
      </c>
      <c r="DE258" s="60">
        <v>150</v>
      </c>
    </row>
    <row r="259" spans="1:109" ht="19.5" customHeight="1">
      <c r="A259" s="54"/>
      <c r="B259" s="54"/>
      <c r="C259" s="54"/>
      <c r="D259" s="54"/>
      <c r="E259" s="54"/>
      <c r="F259" s="53"/>
      <c r="G259" s="31"/>
      <c r="H259" s="36"/>
      <c r="I259" s="36"/>
      <c r="J259" s="36"/>
      <c r="K259" s="36"/>
      <c r="L259" s="36"/>
      <c r="M259" s="31"/>
      <c r="N259" s="31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16"/>
      <c r="AI259" s="16"/>
      <c r="AP259">
        <v>255</v>
      </c>
      <c r="AQ259" s="60" t="s">
        <v>429</v>
      </c>
      <c r="AR259">
        <v>70.4</v>
      </c>
      <c r="BG259">
        <v>21</v>
      </c>
      <c r="CI259">
        <v>1.7</v>
      </c>
      <c r="CJ259">
        <v>9.5</v>
      </c>
      <c r="DE259" s="60">
        <v>70</v>
      </c>
    </row>
    <row r="260" spans="1:109" ht="19.5" customHeight="1">
      <c r="A260" s="54"/>
      <c r="B260" s="54"/>
      <c r="C260" s="54"/>
      <c r="D260" s="54"/>
      <c r="E260" s="54"/>
      <c r="F260" s="53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16"/>
      <c r="AI260" s="16"/>
      <c r="AP260">
        <v>256</v>
      </c>
      <c r="AQ260" s="60" t="s">
        <v>430</v>
      </c>
      <c r="AR260">
        <v>70.4</v>
      </c>
      <c r="AZ260">
        <v>1.4</v>
      </c>
      <c r="BL260">
        <v>1.4</v>
      </c>
      <c r="CI260">
        <v>10.2</v>
      </c>
      <c r="CJ260">
        <v>11.2</v>
      </c>
      <c r="CN260">
        <v>7</v>
      </c>
      <c r="DE260" s="60">
        <v>70</v>
      </c>
    </row>
    <row r="261" spans="1:113" ht="19.5" customHeight="1">
      <c r="A261" s="54"/>
      <c r="B261" s="54"/>
      <c r="C261" s="54"/>
      <c r="D261" s="54"/>
      <c r="E261" s="54"/>
      <c r="F261" s="53"/>
      <c r="G261" s="31"/>
      <c r="H261" s="36"/>
      <c r="I261" s="36"/>
      <c r="J261" s="36"/>
      <c r="K261" s="36"/>
      <c r="L261" s="36"/>
      <c r="M261" s="31"/>
      <c r="N261" s="31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16"/>
      <c r="AI261" s="16"/>
      <c r="AP261">
        <v>257</v>
      </c>
      <c r="AQ261" s="60" t="s">
        <v>431</v>
      </c>
      <c r="AR261">
        <v>44</v>
      </c>
      <c r="AS261">
        <v>25</v>
      </c>
      <c r="BC261">
        <v>1.5</v>
      </c>
      <c r="BJ261">
        <v>4</v>
      </c>
      <c r="CI261">
        <v>2.4</v>
      </c>
      <c r="CQ261">
        <v>16</v>
      </c>
      <c r="DE261" s="60">
        <v>100</v>
      </c>
      <c r="DI261">
        <v>5</v>
      </c>
    </row>
    <row r="262" spans="1:140" ht="19.5" customHeight="1">
      <c r="A262" s="54"/>
      <c r="B262" s="54"/>
      <c r="C262" s="54"/>
      <c r="D262" s="54"/>
      <c r="E262" s="54"/>
      <c r="F262" s="53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16"/>
      <c r="AI262" s="16"/>
      <c r="AP262">
        <v>258</v>
      </c>
      <c r="AQ262" s="60" t="s">
        <v>432</v>
      </c>
      <c r="AS262">
        <v>72.3</v>
      </c>
      <c r="BC262">
        <v>1.5</v>
      </c>
      <c r="BM262">
        <v>2.3</v>
      </c>
      <c r="CG262">
        <v>112.5</v>
      </c>
      <c r="CI262">
        <v>15</v>
      </c>
      <c r="CJ262">
        <v>15</v>
      </c>
      <c r="CP262">
        <v>0.6</v>
      </c>
      <c r="DE262" s="60">
        <v>150</v>
      </c>
      <c r="ED262">
        <v>0.8</v>
      </c>
      <c r="EJ262">
        <v>0.6</v>
      </c>
    </row>
    <row r="263" spans="1:109" ht="19.5" customHeight="1">
      <c r="A263" s="237" t="s">
        <v>102</v>
      </c>
      <c r="B263" s="238"/>
      <c r="C263" s="238"/>
      <c r="D263" s="239"/>
      <c r="E263" s="56"/>
      <c r="F263" s="53"/>
      <c r="G263" s="31"/>
      <c r="H263" s="36"/>
      <c r="I263" s="36"/>
      <c r="J263" s="36"/>
      <c r="K263" s="36"/>
      <c r="L263" s="36"/>
      <c r="M263" s="31"/>
      <c r="N263" s="31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16"/>
      <c r="AI263" s="16"/>
      <c r="AP263">
        <v>259</v>
      </c>
      <c r="AQ263" s="60" t="s">
        <v>433</v>
      </c>
      <c r="AR263">
        <v>48.3</v>
      </c>
      <c r="AZ263">
        <v>1</v>
      </c>
      <c r="BC263">
        <v>2</v>
      </c>
      <c r="BD263">
        <v>28.5</v>
      </c>
      <c r="BL263">
        <v>1.6</v>
      </c>
      <c r="CG263">
        <v>75</v>
      </c>
      <c r="CI263">
        <v>6</v>
      </c>
      <c r="CJ263">
        <v>6.7</v>
      </c>
      <c r="DE263" s="60">
        <v>100</v>
      </c>
    </row>
    <row r="264" spans="1:113" ht="19.5" customHeight="1">
      <c r="A264" s="240"/>
      <c r="B264" s="241"/>
      <c r="C264" s="241"/>
      <c r="D264" s="242"/>
      <c r="E264" s="56"/>
      <c r="F264" s="53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16"/>
      <c r="AI264" s="16"/>
      <c r="AP264">
        <v>259</v>
      </c>
      <c r="AQ264" s="60" t="s">
        <v>434</v>
      </c>
      <c r="AR264">
        <v>70</v>
      </c>
      <c r="CB264">
        <v>12.5</v>
      </c>
      <c r="DE264" s="60" t="s">
        <v>435</v>
      </c>
      <c r="DI264">
        <v>15</v>
      </c>
    </row>
    <row r="265" spans="1:109" ht="19.5" customHeight="1">
      <c r="A265" s="240"/>
      <c r="B265" s="241"/>
      <c r="C265" s="241"/>
      <c r="D265" s="242"/>
      <c r="E265" s="56"/>
      <c r="F265" s="53"/>
      <c r="G265" s="31"/>
      <c r="H265" s="36"/>
      <c r="I265" s="36"/>
      <c r="J265" s="36"/>
      <c r="K265" s="36"/>
      <c r="L265" s="36"/>
      <c r="M265" s="31"/>
      <c r="N265" s="31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16"/>
      <c r="AI265" s="16"/>
      <c r="AP265">
        <v>260</v>
      </c>
      <c r="AQ265" s="60" t="s">
        <v>436</v>
      </c>
      <c r="AS265">
        <v>72.3</v>
      </c>
      <c r="BC265">
        <v>4.5</v>
      </c>
      <c r="CG265">
        <v>112.5</v>
      </c>
      <c r="CI265">
        <v>18</v>
      </c>
      <c r="CJ265">
        <v>20.3</v>
      </c>
      <c r="CM265">
        <v>7.5</v>
      </c>
      <c r="DE265" s="60">
        <v>150</v>
      </c>
    </row>
    <row r="266" spans="1:127" ht="19.5" customHeight="1">
      <c r="A266" s="240"/>
      <c r="B266" s="241"/>
      <c r="C266" s="241"/>
      <c r="D266" s="242"/>
      <c r="E266" s="56"/>
      <c r="F266" s="53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16"/>
      <c r="AI266" s="16"/>
      <c r="AP266">
        <v>261</v>
      </c>
      <c r="AQ266" s="60" t="s">
        <v>437</v>
      </c>
      <c r="DE266" s="60">
        <v>30</v>
      </c>
      <c r="DS266">
        <v>30</v>
      </c>
      <c r="DU266">
        <v>30</v>
      </c>
      <c r="DW266">
        <v>30</v>
      </c>
    </row>
    <row r="267" spans="1:126" ht="19.5" customHeight="1">
      <c r="A267" s="240"/>
      <c r="B267" s="241"/>
      <c r="C267" s="241"/>
      <c r="D267" s="242"/>
      <c r="E267" s="5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P267">
        <v>262</v>
      </c>
      <c r="AQ267" s="60" t="s">
        <v>324</v>
      </c>
      <c r="CQ267">
        <v>30</v>
      </c>
      <c r="DE267" s="60">
        <v>30</v>
      </c>
      <c r="DR267">
        <v>30</v>
      </c>
      <c r="DT267">
        <v>30</v>
      </c>
      <c r="DV267">
        <v>30</v>
      </c>
    </row>
    <row r="268" spans="1:109" ht="19.5" customHeight="1">
      <c r="A268" s="240"/>
      <c r="B268" s="241"/>
      <c r="C268" s="241"/>
      <c r="D268" s="242"/>
      <c r="E268" s="5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P268">
        <v>263</v>
      </c>
      <c r="AQ268" s="60" t="s">
        <v>440</v>
      </c>
      <c r="BF268">
        <v>125</v>
      </c>
      <c r="DE268" s="60">
        <v>125</v>
      </c>
    </row>
    <row r="269" spans="1:109" ht="19.5" customHeight="1">
      <c r="A269" s="240"/>
      <c r="B269" s="241"/>
      <c r="C269" s="241"/>
      <c r="D269" s="242"/>
      <c r="E269" s="5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P269">
        <v>264</v>
      </c>
      <c r="AQ269" s="60" t="s">
        <v>132</v>
      </c>
      <c r="BK269">
        <v>125</v>
      </c>
      <c r="DE269">
        <v>125</v>
      </c>
    </row>
    <row r="270" spans="1:109" ht="19.5" customHeight="1">
      <c r="A270" s="240"/>
      <c r="B270" s="241"/>
      <c r="C270" s="241"/>
      <c r="D270" s="242"/>
      <c r="E270" s="5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P270">
        <v>265</v>
      </c>
      <c r="AQ270" s="60" t="s">
        <v>444</v>
      </c>
      <c r="BD270">
        <v>180</v>
      </c>
      <c r="DE270" s="60">
        <v>180</v>
      </c>
    </row>
    <row r="271" spans="1:150" ht="19.5" customHeight="1">
      <c r="A271" s="240"/>
      <c r="B271" s="241"/>
      <c r="C271" s="241"/>
      <c r="D271" s="242"/>
      <c r="E271" s="5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P271">
        <v>266</v>
      </c>
      <c r="AQ271" s="60" t="s">
        <v>445</v>
      </c>
      <c r="DE271" s="60">
        <v>200</v>
      </c>
      <c r="ET271">
        <v>200</v>
      </c>
    </row>
    <row r="272" spans="1:109" ht="19.5" customHeight="1">
      <c r="A272" s="240"/>
      <c r="B272" s="241"/>
      <c r="C272" s="241"/>
      <c r="D272" s="242"/>
      <c r="E272" s="5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P272">
        <v>267</v>
      </c>
      <c r="AQ272" s="60" t="s">
        <v>447</v>
      </c>
      <c r="CD272">
        <v>200</v>
      </c>
      <c r="DE272" s="60">
        <v>200</v>
      </c>
    </row>
    <row r="273" spans="1:129" ht="19.5" customHeight="1">
      <c r="A273" s="240"/>
      <c r="B273" s="241"/>
      <c r="C273" s="241"/>
      <c r="D273" s="242"/>
      <c r="E273" s="5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Q273" s="104" t="s">
        <v>448</v>
      </c>
      <c r="AR273" s="61">
        <v>115</v>
      </c>
      <c r="AS273" s="61">
        <v>122.7</v>
      </c>
      <c r="AT273" s="61">
        <v>69.3</v>
      </c>
      <c r="AU273" s="61">
        <v>59</v>
      </c>
      <c r="AV273" s="61">
        <v>98.2</v>
      </c>
      <c r="AW273" s="61">
        <v>54</v>
      </c>
      <c r="AX273" s="61">
        <v>69.15</v>
      </c>
      <c r="AY273" s="61">
        <v>81.22</v>
      </c>
      <c r="AZ273" s="61">
        <v>181.81</v>
      </c>
      <c r="BA273" s="61"/>
      <c r="BB273" s="61"/>
      <c r="BC273" s="61">
        <v>68.478</v>
      </c>
      <c r="BD273" s="61">
        <v>20.68</v>
      </c>
      <c r="BE273" s="93">
        <v>80.54</v>
      </c>
      <c r="BF273" s="61">
        <v>24.53</v>
      </c>
      <c r="BG273" s="61">
        <v>70.24</v>
      </c>
      <c r="BH273" s="61">
        <v>58.96</v>
      </c>
      <c r="BI273" s="61">
        <v>140.8</v>
      </c>
      <c r="BJ273" s="61">
        <v>2.7</v>
      </c>
      <c r="BK273" s="61">
        <v>33.02</v>
      </c>
      <c r="BL273" s="61">
        <v>13.28</v>
      </c>
      <c r="BM273" s="61">
        <v>75</v>
      </c>
      <c r="BN273" s="61">
        <v>40.5</v>
      </c>
      <c r="BO273" s="61">
        <v>18.1</v>
      </c>
      <c r="BP273" s="61">
        <v>13.56</v>
      </c>
      <c r="BQ273" s="61">
        <v>18.6</v>
      </c>
      <c r="BR273" s="61">
        <v>27.2</v>
      </c>
      <c r="BS273" s="61">
        <v>19.06</v>
      </c>
      <c r="BT273" s="61">
        <v>15</v>
      </c>
      <c r="BU273" s="61">
        <v>11.8</v>
      </c>
      <c r="BV273" s="61">
        <v>175</v>
      </c>
      <c r="BW273" s="61">
        <v>26.4</v>
      </c>
      <c r="BX273" s="61"/>
      <c r="BY273" s="61">
        <v>35</v>
      </c>
      <c r="BZ273" s="61">
        <v>62.7</v>
      </c>
      <c r="CA273" s="61">
        <v>58.24</v>
      </c>
      <c r="CB273" s="61">
        <v>62</v>
      </c>
      <c r="CC273" s="61">
        <v>98</v>
      </c>
      <c r="CD273" s="61">
        <v>27.7</v>
      </c>
      <c r="CE273" s="61">
        <v>120</v>
      </c>
      <c r="CF273" s="61">
        <v>18.44</v>
      </c>
      <c r="CG273" s="61">
        <v>10.45</v>
      </c>
      <c r="CH273" s="61">
        <v>4.66</v>
      </c>
      <c r="CI273" s="61">
        <v>6.48</v>
      </c>
      <c r="CJ273" s="61">
        <v>8.57</v>
      </c>
      <c r="CK273" s="61">
        <v>38</v>
      </c>
      <c r="CL273" s="93">
        <v>26.5</v>
      </c>
      <c r="CM273" s="61">
        <v>52.8</v>
      </c>
      <c r="CN273" s="61">
        <v>12.5</v>
      </c>
      <c r="CO273" s="61">
        <v>7.47</v>
      </c>
      <c r="CP273" s="61">
        <v>56.4</v>
      </c>
      <c r="CQ273" s="61">
        <v>14.52</v>
      </c>
      <c r="CR273" s="61">
        <v>25.68</v>
      </c>
      <c r="CS273" s="61">
        <v>150</v>
      </c>
      <c r="CT273" s="61">
        <v>14.8</v>
      </c>
      <c r="CU273" s="61">
        <v>250</v>
      </c>
      <c r="CV273" s="61">
        <v>150</v>
      </c>
      <c r="CW273" s="61">
        <v>288</v>
      </c>
      <c r="CX273" s="61">
        <v>452</v>
      </c>
      <c r="CY273" s="61">
        <v>10.24</v>
      </c>
      <c r="CZ273" s="61">
        <v>190</v>
      </c>
      <c r="DA273" s="61">
        <v>610</v>
      </c>
      <c r="DB273" s="61">
        <v>2300</v>
      </c>
      <c r="DC273" s="61">
        <v>230</v>
      </c>
      <c r="DD273" s="61">
        <v>98</v>
      </c>
      <c r="DE273" s="61"/>
      <c r="DF273" s="61">
        <v>26.5</v>
      </c>
      <c r="DG273" s="61">
        <v>68</v>
      </c>
      <c r="DH273" s="61">
        <v>46</v>
      </c>
      <c r="DI273" s="61">
        <v>39</v>
      </c>
      <c r="DJ273" s="61"/>
      <c r="DK273" s="61">
        <v>13.56</v>
      </c>
      <c r="DL273" s="61">
        <v>19.06</v>
      </c>
      <c r="DM273" s="61">
        <v>98</v>
      </c>
      <c r="DN273" s="61">
        <v>12.5</v>
      </c>
      <c r="DO273" s="61">
        <v>23.5</v>
      </c>
      <c r="DP273" s="61">
        <v>29.6</v>
      </c>
      <c r="DQ273" s="61">
        <v>40</v>
      </c>
      <c r="DR273" s="61">
        <v>29.6</v>
      </c>
      <c r="DS273" s="61">
        <v>40</v>
      </c>
      <c r="DT273" s="60"/>
      <c r="DU273" s="60"/>
      <c r="DV273" s="60"/>
      <c r="DW273" s="60"/>
      <c r="DX273" s="60">
        <v>58</v>
      </c>
      <c r="DY273" s="60">
        <v>6.8</v>
      </c>
    </row>
    <row r="274" spans="1:35" ht="19.5" customHeight="1">
      <c r="A274" s="240"/>
      <c r="B274" s="241"/>
      <c r="C274" s="241"/>
      <c r="D274" s="242"/>
      <c r="E274" s="5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</row>
    <row r="275" spans="1:35" ht="19.5" customHeight="1">
      <c r="A275" s="243"/>
      <c r="B275" s="244"/>
      <c r="C275" s="244"/>
      <c r="D275" s="245"/>
      <c r="E275" s="5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ht="19.5" customHeight="1">
      <c r="A276" s="56"/>
      <c r="B276" s="56"/>
      <c r="C276" s="56"/>
      <c r="D276" s="56"/>
      <c r="E276" s="5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ht="19.5" customHeight="1">
      <c r="A277" s="56"/>
      <c r="B277" s="56"/>
      <c r="C277" s="56"/>
      <c r="D277" s="56"/>
      <c r="E277" s="5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  <row r="278" spans="1:35" ht="19.5" customHeight="1">
      <c r="A278" s="56"/>
      <c r="B278" s="56"/>
      <c r="C278" s="56"/>
      <c r="D278" s="56"/>
      <c r="E278" s="5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</row>
    <row r="279" spans="1:35" ht="19.5" customHeight="1">
      <c r="A279" s="56"/>
      <c r="B279" s="56"/>
      <c r="C279" s="56"/>
      <c r="D279" s="56"/>
      <c r="E279" s="5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</row>
    <row r="280" spans="1:35" ht="19.5" customHeight="1">
      <c r="A280" s="56"/>
      <c r="B280" s="56"/>
      <c r="C280" s="56"/>
      <c r="D280" s="56"/>
      <c r="E280" s="5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</row>
    <row r="281" spans="1:35" ht="19.5" customHeight="1">
      <c r="A281" s="56"/>
      <c r="B281" s="56"/>
      <c r="C281" s="56"/>
      <c r="D281" s="56"/>
      <c r="E281" s="5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</row>
    <row r="282" spans="1:35" ht="19.5" customHeight="1">
      <c r="A282" s="56"/>
      <c r="B282" s="56"/>
      <c r="C282" s="56"/>
      <c r="D282" s="56"/>
      <c r="E282" s="5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</row>
    <row r="283" spans="1:35" ht="19.5" customHeight="1">
      <c r="A283" s="237" t="s">
        <v>103</v>
      </c>
      <c r="B283" s="238"/>
      <c r="C283" s="238"/>
      <c r="D283" s="239"/>
      <c r="E283" s="5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</row>
    <row r="284" spans="1:35" ht="19.5" customHeight="1">
      <c r="A284" s="240"/>
      <c r="B284" s="241"/>
      <c r="C284" s="241"/>
      <c r="D284" s="242"/>
      <c r="E284" s="5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</row>
    <row r="285" spans="1:35" ht="19.5" customHeight="1">
      <c r="A285" s="240"/>
      <c r="B285" s="241"/>
      <c r="C285" s="241"/>
      <c r="D285" s="242"/>
      <c r="E285" s="5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</row>
    <row r="286" spans="1:35" ht="19.5" customHeight="1">
      <c r="A286" s="240"/>
      <c r="B286" s="241"/>
      <c r="C286" s="241"/>
      <c r="D286" s="242"/>
      <c r="E286" s="5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</row>
    <row r="287" spans="1:35" ht="19.5" customHeight="1">
      <c r="A287" s="240"/>
      <c r="B287" s="241"/>
      <c r="C287" s="241"/>
      <c r="D287" s="242"/>
      <c r="E287" s="5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</row>
    <row r="288" spans="1:35" ht="19.5" customHeight="1">
      <c r="A288" s="240"/>
      <c r="B288" s="241"/>
      <c r="C288" s="241"/>
      <c r="D288" s="242"/>
      <c r="E288" s="5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</row>
    <row r="289" spans="1:35" ht="19.5" customHeight="1">
      <c r="A289" s="240"/>
      <c r="B289" s="241"/>
      <c r="C289" s="241"/>
      <c r="D289" s="242"/>
      <c r="E289" s="5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</row>
    <row r="290" spans="1:35" ht="19.5" customHeight="1">
      <c r="A290" s="240"/>
      <c r="B290" s="241"/>
      <c r="C290" s="241"/>
      <c r="D290" s="242"/>
      <c r="E290" s="5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</row>
    <row r="291" spans="1:35" ht="19.5" customHeight="1">
      <c r="A291" s="240"/>
      <c r="B291" s="241"/>
      <c r="C291" s="241"/>
      <c r="D291" s="242"/>
      <c r="E291" s="5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</row>
    <row r="292" spans="1:35" ht="19.5" customHeight="1">
      <c r="A292" s="240"/>
      <c r="B292" s="241"/>
      <c r="C292" s="241"/>
      <c r="D292" s="242"/>
      <c r="E292" s="5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</row>
    <row r="293" spans="1:35" ht="19.5" customHeight="1">
      <c r="A293" s="240"/>
      <c r="B293" s="241"/>
      <c r="C293" s="241"/>
      <c r="D293" s="242"/>
      <c r="E293" s="5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</row>
    <row r="294" spans="1:35" ht="19.5" customHeight="1">
      <c r="A294" s="240"/>
      <c r="B294" s="241"/>
      <c r="C294" s="241"/>
      <c r="D294" s="242"/>
      <c r="E294" s="5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</row>
    <row r="295" spans="1:35" ht="19.5" customHeight="1">
      <c r="A295" s="240"/>
      <c r="B295" s="241"/>
      <c r="C295" s="241"/>
      <c r="D295" s="242"/>
      <c r="E295" s="5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</row>
    <row r="296" spans="1:35" ht="19.5" customHeight="1">
      <c r="A296" s="240"/>
      <c r="B296" s="241"/>
      <c r="C296" s="241"/>
      <c r="D296" s="242"/>
      <c r="E296" s="5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</row>
    <row r="297" spans="1:35" ht="19.5" customHeight="1">
      <c r="A297" s="240"/>
      <c r="B297" s="241"/>
      <c r="C297" s="241"/>
      <c r="D297" s="242"/>
      <c r="E297" s="5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</row>
    <row r="298" spans="1:35" ht="19.5" customHeight="1">
      <c r="A298" s="240"/>
      <c r="B298" s="241"/>
      <c r="C298" s="241"/>
      <c r="D298" s="242"/>
      <c r="E298" s="5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</row>
    <row r="299" spans="1:35" ht="19.5" customHeight="1">
      <c r="A299" s="240"/>
      <c r="B299" s="241"/>
      <c r="C299" s="241"/>
      <c r="D299" s="242"/>
      <c r="E299" s="5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</row>
    <row r="300" spans="1:35" ht="19.5" customHeight="1">
      <c r="A300" s="240"/>
      <c r="B300" s="241"/>
      <c r="C300" s="241"/>
      <c r="D300" s="242"/>
      <c r="E300" s="5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</row>
    <row r="301" spans="1:35" ht="19.5" customHeight="1">
      <c r="A301" s="240"/>
      <c r="B301" s="241"/>
      <c r="C301" s="241"/>
      <c r="D301" s="242"/>
      <c r="E301" s="5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</row>
    <row r="302" spans="1:35" ht="19.5" customHeight="1">
      <c r="A302" s="240"/>
      <c r="B302" s="241"/>
      <c r="C302" s="241"/>
      <c r="D302" s="242"/>
      <c r="E302" s="5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</row>
    <row r="303" spans="1:35" ht="19.5" customHeight="1">
      <c r="A303" s="240"/>
      <c r="B303" s="241"/>
      <c r="C303" s="241"/>
      <c r="D303" s="242"/>
      <c r="E303" s="5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</row>
    <row r="304" spans="1:35" ht="19.5" customHeight="1">
      <c r="A304" s="240"/>
      <c r="B304" s="241"/>
      <c r="C304" s="241"/>
      <c r="D304" s="242"/>
      <c r="E304" s="5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</row>
    <row r="305" spans="1:35" ht="19.5" customHeight="1">
      <c r="A305" s="240"/>
      <c r="B305" s="241"/>
      <c r="C305" s="241"/>
      <c r="D305" s="242"/>
      <c r="E305" s="5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ht="19.5" customHeight="1">
      <c r="A306" s="240"/>
      <c r="B306" s="241"/>
      <c r="C306" s="241"/>
      <c r="D306" s="242"/>
      <c r="E306" s="5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</row>
    <row r="307" spans="1:35" ht="19.5" customHeight="1">
      <c r="A307" s="240"/>
      <c r="B307" s="241"/>
      <c r="C307" s="241"/>
      <c r="D307" s="242"/>
      <c r="E307" s="5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</row>
    <row r="308" spans="1:35" ht="19.5" customHeight="1">
      <c r="A308" s="240"/>
      <c r="B308" s="241"/>
      <c r="C308" s="241"/>
      <c r="D308" s="242"/>
      <c r="E308" s="5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</row>
    <row r="309" spans="1:35" ht="19.5" customHeight="1">
      <c r="A309" s="240"/>
      <c r="B309" s="241"/>
      <c r="C309" s="241"/>
      <c r="D309" s="242"/>
      <c r="E309" s="5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</row>
    <row r="310" spans="1:35" ht="19.5" customHeight="1">
      <c r="A310" s="240"/>
      <c r="B310" s="241"/>
      <c r="C310" s="241"/>
      <c r="D310" s="242"/>
      <c r="E310" s="5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</row>
    <row r="311" spans="1:35" ht="19.5" customHeight="1">
      <c r="A311" s="240"/>
      <c r="B311" s="241"/>
      <c r="C311" s="241"/>
      <c r="D311" s="242"/>
      <c r="E311" s="5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</row>
    <row r="312" spans="1:35" ht="19.5" customHeight="1">
      <c r="A312" s="240"/>
      <c r="B312" s="241"/>
      <c r="C312" s="241"/>
      <c r="D312" s="242"/>
      <c r="E312" s="5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</row>
    <row r="313" spans="1:35" ht="19.5" customHeight="1">
      <c r="A313" s="240"/>
      <c r="B313" s="241"/>
      <c r="C313" s="241"/>
      <c r="D313" s="242"/>
      <c r="E313" s="5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</row>
    <row r="314" spans="1:35" ht="19.5" customHeight="1">
      <c r="A314" s="240"/>
      <c r="B314" s="241"/>
      <c r="C314" s="241"/>
      <c r="D314" s="242"/>
      <c r="E314" s="5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</row>
    <row r="315" spans="1:35" ht="19.5" customHeight="1">
      <c r="A315" s="243"/>
      <c r="B315" s="244"/>
      <c r="C315" s="244"/>
      <c r="D315" s="245"/>
      <c r="E315" s="5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</row>
    <row r="316" spans="1:35" ht="19.5" customHeight="1">
      <c r="A316" s="56"/>
      <c r="B316" s="56"/>
      <c r="C316" s="56"/>
      <c r="D316" s="56"/>
      <c r="E316" s="5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</row>
    <row r="317" spans="1:35" ht="19.5" customHeight="1">
      <c r="A317" s="56"/>
      <c r="B317" s="56"/>
      <c r="C317" s="56"/>
      <c r="D317" s="56"/>
      <c r="E317" s="5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</row>
    <row r="318" spans="1:35" ht="19.5" customHeight="1">
      <c r="A318" s="56"/>
      <c r="B318" s="56"/>
      <c r="C318" s="56"/>
      <c r="D318" s="56"/>
      <c r="E318" s="5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</row>
    <row r="319" spans="1:35" ht="19.5" customHeight="1">
      <c r="A319" s="56"/>
      <c r="B319" s="56"/>
      <c r="C319" s="56"/>
      <c r="D319" s="56"/>
      <c r="E319" s="5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</row>
    <row r="320" spans="1:35" ht="19.5" customHeight="1">
      <c r="A320" s="100"/>
      <c r="B320" s="56"/>
      <c r="C320" s="56"/>
      <c r="D320" s="56"/>
      <c r="E320" s="5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</row>
    <row r="321" spans="1:35" ht="19.5" customHeight="1">
      <c r="A321" s="56"/>
      <c r="B321" s="56"/>
      <c r="C321" s="56"/>
      <c r="D321" s="56"/>
      <c r="E321" s="5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</row>
    <row r="322" spans="1:35" ht="19.5" customHeight="1">
      <c r="A322" s="56"/>
      <c r="B322" s="56"/>
      <c r="C322" s="56"/>
      <c r="D322" s="56"/>
      <c r="E322" s="5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</row>
    <row r="323" spans="1:35" ht="19.5" customHeight="1">
      <c r="A323" s="56"/>
      <c r="B323" s="56"/>
      <c r="C323" s="56"/>
      <c r="D323" s="56"/>
      <c r="E323" s="5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</row>
    <row r="324" spans="1:35" ht="19.5" customHeight="1">
      <c r="A324" s="56"/>
      <c r="B324" s="56"/>
      <c r="C324" s="56"/>
      <c r="D324" s="56"/>
      <c r="E324" s="5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</row>
    <row r="325" spans="1:35" ht="19.5" customHeight="1">
      <c r="A325" s="56"/>
      <c r="B325" s="56"/>
      <c r="C325" s="56"/>
      <c r="D325" s="56"/>
      <c r="E325" s="5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</row>
    <row r="326" spans="1:35" ht="19.5" customHeight="1">
      <c r="A326" s="56"/>
      <c r="B326" s="56"/>
      <c r="C326" s="56"/>
      <c r="D326" s="56"/>
      <c r="E326" s="5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</row>
    <row r="327" spans="1:35" ht="19.5" customHeight="1">
      <c r="A327" s="56"/>
      <c r="B327" s="56"/>
      <c r="C327" s="56"/>
      <c r="D327" s="56"/>
      <c r="E327" s="5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</row>
    <row r="328" spans="1:35" ht="19.5" customHeight="1">
      <c r="A328" s="56"/>
      <c r="B328" s="56"/>
      <c r="C328" s="56"/>
      <c r="D328" s="56"/>
      <c r="E328" s="5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</row>
    <row r="329" spans="1:35" ht="19.5" customHeight="1">
      <c r="A329" s="56"/>
      <c r="B329" s="56"/>
      <c r="C329" s="56"/>
      <c r="D329" s="56"/>
      <c r="E329" s="5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</row>
    <row r="330" spans="1:35" ht="19.5" customHeight="1">
      <c r="A330" s="56"/>
      <c r="B330" s="56"/>
      <c r="C330" s="56"/>
      <c r="D330" s="56"/>
      <c r="E330" s="5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</row>
    <row r="331" spans="1:35" ht="19.5" customHeight="1">
      <c r="A331" s="56"/>
      <c r="B331" s="56"/>
      <c r="C331" s="56"/>
      <c r="D331" s="56"/>
      <c r="E331" s="5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</row>
    <row r="332" spans="1:35" ht="19.5" customHeight="1">
      <c r="A332" s="56"/>
      <c r="B332" s="56"/>
      <c r="C332" s="56"/>
      <c r="D332" s="56"/>
      <c r="E332" s="5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</row>
    <row r="333" spans="1:35" ht="19.5" customHeight="1">
      <c r="A333" s="56"/>
      <c r="B333" s="56"/>
      <c r="C333" s="56"/>
      <c r="D333" s="56"/>
      <c r="E333" s="5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</row>
    <row r="334" spans="1:35" ht="19.5" customHeight="1">
      <c r="A334" s="56"/>
      <c r="B334" s="56"/>
      <c r="C334" s="56"/>
      <c r="D334" s="56"/>
      <c r="E334" s="5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</row>
    <row r="335" spans="1:35" ht="19.5" customHeight="1">
      <c r="A335" s="56"/>
      <c r="B335" s="56"/>
      <c r="C335" s="56"/>
      <c r="D335" s="56"/>
      <c r="E335" s="5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</row>
    <row r="336" spans="1:35" ht="19.5" customHeight="1">
      <c r="A336" s="56"/>
      <c r="B336" s="56"/>
      <c r="C336" s="56"/>
      <c r="D336" s="56"/>
      <c r="E336" s="5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</row>
    <row r="337" spans="1:35" ht="19.5" customHeight="1">
      <c r="A337" s="56"/>
      <c r="B337" s="56"/>
      <c r="C337" s="56"/>
      <c r="D337" s="56"/>
      <c r="E337" s="5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</row>
    <row r="338" spans="1:35" ht="19.5" customHeight="1">
      <c r="A338" s="56"/>
      <c r="B338" s="56"/>
      <c r="C338" s="56"/>
      <c r="D338" s="56"/>
      <c r="E338" s="5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</row>
    <row r="339" spans="1:35" ht="19.5" customHeight="1">
      <c r="A339" s="56"/>
      <c r="B339" s="56"/>
      <c r="C339" s="56"/>
      <c r="D339" s="56"/>
      <c r="E339" s="5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</row>
    <row r="340" spans="1:35" ht="19.5" customHeight="1">
      <c r="A340" s="56"/>
      <c r="B340" s="56"/>
      <c r="C340" s="56"/>
      <c r="D340" s="56"/>
      <c r="E340" s="5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</row>
    <row r="341" spans="1:35" ht="19.5" customHeight="1">
      <c r="A341" s="56"/>
      <c r="B341" s="56"/>
      <c r="C341" s="56"/>
      <c r="D341" s="56"/>
      <c r="E341" s="5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</row>
    <row r="342" spans="1:35" ht="19.5" customHeight="1">
      <c r="A342" s="56"/>
      <c r="B342" s="56"/>
      <c r="C342" s="56"/>
      <c r="D342" s="56"/>
      <c r="E342" s="5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</row>
    <row r="343" spans="1:35" ht="19.5" customHeight="1">
      <c r="A343" s="56"/>
      <c r="B343" s="56"/>
      <c r="C343" s="56"/>
      <c r="D343" s="56"/>
      <c r="E343" s="5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</row>
    <row r="344" spans="1:35" ht="19.5" customHeight="1">
      <c r="A344" s="56"/>
      <c r="B344" s="56"/>
      <c r="C344" s="56"/>
      <c r="D344" s="56"/>
      <c r="E344" s="5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</row>
    <row r="345" spans="1:35" ht="19.5" customHeight="1">
      <c r="A345" s="56"/>
      <c r="B345" s="56"/>
      <c r="C345" s="56"/>
      <c r="D345" s="56"/>
      <c r="E345" s="5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</row>
    <row r="346" spans="1:35" ht="19.5" customHeight="1">
      <c r="A346" s="56"/>
      <c r="B346" s="56"/>
      <c r="C346" s="56"/>
      <c r="D346" s="56"/>
      <c r="E346" s="5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</row>
    <row r="347" spans="1:35" ht="19.5" customHeight="1">
      <c r="A347" s="56"/>
      <c r="B347" s="56"/>
      <c r="C347" s="56"/>
      <c r="D347" s="56"/>
      <c r="E347" s="5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</row>
    <row r="348" spans="1:35" ht="19.5" customHeight="1">
      <c r="A348" s="56"/>
      <c r="B348" s="56"/>
      <c r="C348" s="56"/>
      <c r="D348" s="56"/>
      <c r="E348" s="5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</row>
    <row r="349" spans="1:35" ht="19.5" customHeight="1">
      <c r="A349" s="56"/>
      <c r="B349" s="56"/>
      <c r="C349" s="56"/>
      <c r="D349" s="56"/>
      <c r="E349" s="5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</row>
    <row r="350" spans="1:35" ht="19.5" customHeight="1">
      <c r="A350" s="56"/>
      <c r="B350" s="56"/>
      <c r="C350" s="56"/>
      <c r="D350" s="56"/>
      <c r="E350" s="5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</row>
    <row r="351" spans="1:35" ht="19.5" customHeight="1">
      <c r="A351" s="56"/>
      <c r="B351" s="56"/>
      <c r="C351" s="56"/>
      <c r="D351" s="56"/>
      <c r="E351" s="5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</row>
    <row r="352" spans="1:35" ht="19.5" customHeight="1">
      <c r="A352" s="56"/>
      <c r="B352" s="56"/>
      <c r="C352" s="56"/>
      <c r="D352" s="56"/>
      <c r="E352" s="5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</row>
    <row r="353" spans="1:35" ht="19.5" customHeight="1">
      <c r="A353" s="56"/>
      <c r="B353" s="56"/>
      <c r="C353" s="56"/>
      <c r="D353" s="56"/>
      <c r="E353" s="5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</row>
    <row r="354" spans="1:35" ht="19.5" customHeight="1">
      <c r="A354" s="56"/>
      <c r="B354" s="56"/>
      <c r="C354" s="56"/>
      <c r="D354" s="56"/>
      <c r="E354" s="5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</row>
    <row r="355" spans="1:35" ht="19.5" customHeight="1">
      <c r="A355" s="56"/>
      <c r="B355" s="56"/>
      <c r="C355" s="56"/>
      <c r="D355" s="56"/>
      <c r="E355" s="5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</row>
    <row r="356" spans="1:35" ht="19.5" customHeight="1">
      <c r="A356" s="56"/>
      <c r="B356" s="56"/>
      <c r="C356" s="56"/>
      <c r="D356" s="56"/>
      <c r="E356" s="5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</row>
    <row r="357" spans="1:35" ht="19.5" customHeight="1">
      <c r="A357" s="56"/>
      <c r="B357" s="56"/>
      <c r="C357" s="56"/>
      <c r="D357" s="56"/>
      <c r="E357" s="5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</row>
    <row r="358" spans="1:35" ht="19.5" customHeight="1">
      <c r="A358" s="56"/>
      <c r="B358" s="56"/>
      <c r="C358" s="56"/>
      <c r="D358" s="56"/>
      <c r="E358" s="5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</row>
    <row r="359" spans="1:35" ht="19.5" customHeight="1">
      <c r="A359" s="56"/>
      <c r="B359" s="56"/>
      <c r="C359" s="56"/>
      <c r="D359" s="56"/>
      <c r="E359" s="5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</row>
    <row r="360" spans="1:35" ht="19.5" customHeight="1">
      <c r="A360" s="56"/>
      <c r="B360" s="56"/>
      <c r="C360" s="56"/>
      <c r="D360" s="56"/>
      <c r="E360" s="5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</row>
    <row r="361" spans="1:35" ht="19.5" customHeight="1">
      <c r="A361" s="56"/>
      <c r="B361" s="56"/>
      <c r="C361" s="56"/>
      <c r="D361" s="56"/>
      <c r="E361" s="5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</row>
    <row r="362" spans="1:35" ht="19.5" customHeight="1">
      <c r="A362" s="56"/>
      <c r="B362" s="56"/>
      <c r="C362" s="56"/>
      <c r="D362" s="56"/>
      <c r="E362" s="5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</row>
    <row r="363" spans="1:35" ht="19.5" customHeight="1">
      <c r="A363" s="56"/>
      <c r="B363" s="56"/>
      <c r="C363" s="56"/>
      <c r="D363" s="56"/>
      <c r="E363" s="5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</row>
    <row r="364" spans="1:35" ht="19.5" customHeight="1">
      <c r="A364" s="56"/>
      <c r="B364" s="56"/>
      <c r="C364" s="56"/>
      <c r="D364" s="56"/>
      <c r="E364" s="5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</row>
    <row r="365" spans="1:35" ht="19.5" customHeight="1">
      <c r="A365" s="56"/>
      <c r="B365" s="56"/>
      <c r="C365" s="56"/>
      <c r="D365" s="56"/>
      <c r="E365" s="5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</row>
    <row r="366" spans="1:35" ht="19.5" customHeight="1">
      <c r="A366" s="56"/>
      <c r="B366" s="56"/>
      <c r="C366" s="56"/>
      <c r="D366" s="56"/>
      <c r="E366" s="5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</row>
    <row r="367" spans="1:35" ht="19.5" customHeight="1">
      <c r="A367" s="56"/>
      <c r="B367" s="56"/>
      <c r="C367" s="56"/>
      <c r="D367" s="56"/>
      <c r="E367" s="5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</row>
    <row r="368" spans="1:35" ht="19.5" customHeight="1">
      <c r="A368" s="56"/>
      <c r="B368" s="56"/>
      <c r="C368" s="56"/>
      <c r="D368" s="56"/>
      <c r="E368" s="5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</row>
    <row r="369" spans="1:35" ht="19.5" customHeight="1">
      <c r="A369" s="56"/>
      <c r="B369" s="56"/>
      <c r="C369" s="56"/>
      <c r="D369" s="56"/>
      <c r="E369" s="5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</row>
    <row r="370" spans="1:35" ht="19.5" customHeight="1">
      <c r="A370" s="56"/>
      <c r="B370" s="56"/>
      <c r="C370" s="56"/>
      <c r="D370" s="56"/>
      <c r="E370" s="5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</row>
    <row r="371" spans="1:35" ht="19.5" customHeight="1">
      <c r="A371" s="56"/>
      <c r="B371" s="56"/>
      <c r="C371" s="56"/>
      <c r="D371" s="56"/>
      <c r="E371" s="5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</row>
    <row r="372" spans="1:35" ht="19.5" customHeight="1">
      <c r="A372" s="56"/>
      <c r="B372" s="56"/>
      <c r="C372" s="56"/>
      <c r="D372" s="56"/>
      <c r="E372" s="5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</row>
    <row r="373" spans="1:35" ht="19.5" customHeight="1">
      <c r="A373" s="56"/>
      <c r="B373" s="56"/>
      <c r="C373" s="56"/>
      <c r="D373" s="56"/>
      <c r="E373" s="5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</row>
    <row r="374" spans="1:35" ht="19.5" customHeight="1">
      <c r="A374" s="56"/>
      <c r="B374" s="56"/>
      <c r="C374" s="56"/>
      <c r="D374" s="56"/>
      <c r="E374" s="5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</row>
    <row r="375" spans="1:35" ht="19.5" customHeight="1">
      <c r="A375" s="56"/>
      <c r="B375" s="56"/>
      <c r="C375" s="56"/>
      <c r="D375" s="56"/>
      <c r="E375" s="5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</row>
    <row r="376" spans="1:35" ht="19.5" customHeight="1">
      <c r="A376" s="56"/>
      <c r="B376" s="56"/>
      <c r="C376" s="56"/>
      <c r="D376" s="56"/>
      <c r="E376" s="5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</row>
    <row r="377" spans="1:35" ht="19.5" customHeight="1">
      <c r="A377" s="56"/>
      <c r="B377" s="56"/>
      <c r="C377" s="56"/>
      <c r="D377" s="56"/>
      <c r="E377" s="5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</row>
    <row r="378" spans="1:35" ht="19.5" customHeight="1">
      <c r="A378" s="56"/>
      <c r="B378" s="56"/>
      <c r="C378" s="56"/>
      <c r="D378" s="56"/>
      <c r="E378" s="5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</row>
    <row r="379" spans="1:35" ht="19.5" customHeight="1">
      <c r="A379" s="56"/>
      <c r="B379" s="56"/>
      <c r="C379" s="56"/>
      <c r="D379" s="56"/>
      <c r="E379" s="5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</row>
    <row r="380" spans="1:35" ht="19.5" customHeight="1">
      <c r="A380" s="56"/>
      <c r="B380" s="56"/>
      <c r="C380" s="56"/>
      <c r="D380" s="56"/>
      <c r="E380" s="5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</row>
    <row r="381" spans="1:35" ht="19.5" customHeight="1">
      <c r="A381" s="56"/>
      <c r="B381" s="56"/>
      <c r="C381" s="56"/>
      <c r="D381" s="56"/>
      <c r="E381" s="5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</row>
    <row r="382" spans="1:35" ht="19.5" customHeight="1">
      <c r="A382" s="56"/>
      <c r="B382" s="56"/>
      <c r="C382" s="56"/>
      <c r="D382" s="56"/>
      <c r="E382" s="5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</row>
    <row r="383" spans="1:35" ht="19.5" customHeight="1">
      <c r="A383" s="56"/>
      <c r="B383" s="56"/>
      <c r="C383" s="56"/>
      <c r="D383" s="56"/>
      <c r="E383" s="5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</row>
    <row r="384" spans="1:35" ht="19.5" customHeight="1">
      <c r="A384" s="56"/>
      <c r="B384" s="56"/>
      <c r="C384" s="56"/>
      <c r="D384" s="56"/>
      <c r="E384" s="5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</row>
    <row r="385" spans="1:35" ht="19.5" customHeight="1">
      <c r="A385" s="56"/>
      <c r="B385" s="56"/>
      <c r="C385" s="56"/>
      <c r="D385" s="56"/>
      <c r="E385" s="5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</row>
    <row r="386" spans="1:35" ht="19.5" customHeight="1">
      <c r="A386" s="56"/>
      <c r="B386" s="56"/>
      <c r="C386" s="56"/>
      <c r="D386" s="56"/>
      <c r="E386" s="5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</row>
    <row r="387" spans="1:35" ht="19.5" customHeight="1">
      <c r="A387" s="56"/>
      <c r="B387" s="56"/>
      <c r="C387" s="56"/>
      <c r="D387" s="56"/>
      <c r="E387" s="5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</row>
    <row r="388" spans="1:35" ht="19.5" customHeight="1">
      <c r="A388" s="56"/>
      <c r="B388" s="56"/>
      <c r="C388" s="56"/>
      <c r="D388" s="56"/>
      <c r="E388" s="5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</row>
    <row r="389" spans="1:35" ht="19.5" customHeight="1">
      <c r="A389" s="56"/>
      <c r="B389" s="56"/>
      <c r="C389" s="56"/>
      <c r="D389" s="56"/>
      <c r="E389" s="5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</row>
    <row r="390" spans="1:35" ht="19.5" customHeight="1">
      <c r="A390" s="56"/>
      <c r="B390" s="56"/>
      <c r="C390" s="56"/>
      <c r="D390" s="56"/>
      <c r="E390" s="5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</row>
    <row r="391" spans="1:35" ht="19.5" customHeight="1">
      <c r="A391" s="56"/>
      <c r="B391" s="56"/>
      <c r="C391" s="56"/>
      <c r="D391" s="56"/>
      <c r="E391" s="5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</row>
    <row r="392" spans="1:35" ht="19.5" customHeight="1">
      <c r="A392" s="56"/>
      <c r="B392" s="56"/>
      <c r="C392" s="56"/>
      <c r="D392" s="56"/>
      <c r="E392" s="5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</row>
    <row r="393" spans="1:35" ht="19.5" customHeight="1">
      <c r="A393" s="56"/>
      <c r="B393" s="56"/>
      <c r="C393" s="56"/>
      <c r="D393" s="56"/>
      <c r="E393" s="5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</row>
    <row r="394" spans="1:35" ht="19.5" customHeight="1">
      <c r="A394" s="56"/>
      <c r="B394" s="56"/>
      <c r="C394" s="56"/>
      <c r="D394" s="56"/>
      <c r="E394" s="5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</row>
    <row r="395" spans="1:35" ht="19.5" customHeight="1">
      <c r="A395" s="56"/>
      <c r="B395" s="56"/>
      <c r="C395" s="56"/>
      <c r="D395" s="56"/>
      <c r="E395" s="5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</row>
    <row r="396" spans="1:35" ht="19.5" customHeight="1">
      <c r="A396" s="56"/>
      <c r="B396" s="56"/>
      <c r="C396" s="56"/>
      <c r="D396" s="56"/>
      <c r="E396" s="5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</row>
    <row r="397" spans="1:35" ht="19.5" customHeight="1">
      <c r="A397" s="56"/>
      <c r="B397" s="56"/>
      <c r="C397" s="56"/>
      <c r="D397" s="56"/>
      <c r="E397" s="5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</row>
    <row r="398" spans="1:35" ht="19.5" customHeight="1">
      <c r="A398" s="56"/>
      <c r="B398" s="56"/>
      <c r="C398" s="56"/>
      <c r="D398" s="56"/>
      <c r="E398" s="5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</row>
    <row r="399" spans="1:43" ht="19.5" customHeight="1">
      <c r="A399" s="56"/>
      <c r="B399" s="56"/>
      <c r="C399" s="56"/>
      <c r="D399" s="56"/>
      <c r="E399" s="5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Q399">
        <v>0</v>
      </c>
    </row>
    <row r="400" spans="1:35" ht="19.5" customHeight="1">
      <c r="A400" s="56"/>
      <c r="B400" s="56"/>
      <c r="C400" s="56"/>
      <c r="D400" s="56"/>
      <c r="E400" s="5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</row>
    <row r="401" spans="1:35" ht="19.5" customHeight="1">
      <c r="A401" s="56"/>
      <c r="B401" s="56"/>
      <c r="C401" s="56"/>
      <c r="D401" s="56"/>
      <c r="E401" s="5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</row>
    <row r="402" spans="1:35" ht="19.5" customHeight="1">
      <c r="A402" s="56"/>
      <c r="B402" s="56"/>
      <c r="C402" s="56"/>
      <c r="D402" s="56"/>
      <c r="E402" s="5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</row>
    <row r="403" spans="1:35" ht="19.5" customHeight="1">
      <c r="A403" s="236"/>
      <c r="B403" s="236"/>
      <c r="C403" s="236"/>
      <c r="D403" s="236"/>
      <c r="E403" s="23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</row>
    <row r="404" spans="1:35" ht="19.5" customHeight="1">
      <c r="A404" s="236"/>
      <c r="B404" s="236"/>
      <c r="C404" s="236"/>
      <c r="D404" s="236"/>
      <c r="E404" s="23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</row>
    <row r="405" spans="1:35" ht="19.5" customHeight="1">
      <c r="A405" s="236"/>
      <c r="B405" s="236"/>
      <c r="C405" s="236"/>
      <c r="D405" s="236"/>
      <c r="E405" s="23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</row>
    <row r="406" spans="1:35" ht="19.5" customHeight="1">
      <c r="A406" s="236"/>
      <c r="B406" s="236"/>
      <c r="C406" s="236"/>
      <c r="D406" s="236"/>
      <c r="E406" s="23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</row>
    <row r="407" spans="1:35" ht="19.5" customHeight="1">
      <c r="A407" s="236"/>
      <c r="B407" s="236"/>
      <c r="C407" s="236"/>
      <c r="D407" s="236"/>
      <c r="E407" s="23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</row>
    <row r="408" spans="1:35" ht="19.5" customHeight="1">
      <c r="A408" s="236"/>
      <c r="B408" s="236"/>
      <c r="C408" s="236"/>
      <c r="D408" s="236"/>
      <c r="E408" s="23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</row>
    <row r="409" spans="1:35" ht="19.5" customHeight="1">
      <c r="A409" s="236"/>
      <c r="B409" s="236"/>
      <c r="C409" s="236"/>
      <c r="D409" s="236"/>
      <c r="E409" s="23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</row>
    <row r="410" spans="1:35" ht="19.5" customHeight="1">
      <c r="A410" s="236"/>
      <c r="B410" s="236"/>
      <c r="C410" s="236"/>
      <c r="D410" s="236"/>
      <c r="E410" s="23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</row>
    <row r="411" spans="1:35" ht="19.5" customHeight="1">
      <c r="A411" s="236"/>
      <c r="B411" s="236"/>
      <c r="C411" s="236"/>
      <c r="D411" s="236"/>
      <c r="E411" s="23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</row>
    <row r="412" spans="1:35" ht="19.5" customHeight="1">
      <c r="A412" s="236"/>
      <c r="B412" s="236"/>
      <c r="C412" s="236"/>
      <c r="D412" s="236"/>
      <c r="E412" s="23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</row>
    <row r="413" spans="1:35" ht="19.5" customHeight="1">
      <c r="A413" s="236"/>
      <c r="B413" s="236"/>
      <c r="C413" s="236"/>
      <c r="D413" s="236"/>
      <c r="E413" s="23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</row>
    <row r="414" spans="1:35" ht="19.5" customHeight="1">
      <c r="A414" s="236"/>
      <c r="B414" s="236"/>
      <c r="C414" s="236"/>
      <c r="D414" s="236"/>
      <c r="E414" s="23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</row>
    <row r="415" spans="1:35" ht="19.5" customHeight="1">
      <c r="A415" s="236"/>
      <c r="B415" s="236"/>
      <c r="C415" s="236"/>
      <c r="D415" s="236"/>
      <c r="E415" s="23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</row>
    <row r="416" spans="1:35" ht="19.5" customHeight="1">
      <c r="A416" s="236"/>
      <c r="B416" s="236"/>
      <c r="C416" s="236"/>
      <c r="D416" s="236"/>
      <c r="E416" s="23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</row>
    <row r="417" spans="1:35" ht="19.5" customHeight="1">
      <c r="A417" s="236"/>
      <c r="B417" s="236"/>
      <c r="C417" s="236"/>
      <c r="D417" s="236"/>
      <c r="E417" s="23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</row>
    <row r="418" spans="1:35" ht="19.5" customHeight="1">
      <c r="A418" s="236"/>
      <c r="B418" s="236"/>
      <c r="C418" s="236"/>
      <c r="D418" s="236"/>
      <c r="E418" s="23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</row>
    <row r="419" spans="1:35" ht="19.5" customHeight="1">
      <c r="A419" s="236"/>
      <c r="B419" s="236"/>
      <c r="C419" s="236"/>
      <c r="D419" s="236"/>
      <c r="E419" s="23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</row>
    <row r="420" spans="1:35" ht="19.5" customHeight="1">
      <c r="A420" s="236"/>
      <c r="B420" s="236"/>
      <c r="C420" s="236"/>
      <c r="D420" s="236"/>
      <c r="E420" s="23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</row>
    <row r="421" spans="1:35" ht="19.5" customHeight="1">
      <c r="A421" s="236"/>
      <c r="B421" s="236"/>
      <c r="C421" s="236"/>
      <c r="D421" s="236"/>
      <c r="E421" s="23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</row>
    <row r="422" spans="1:35" ht="19.5" customHeight="1">
      <c r="A422" s="236"/>
      <c r="B422" s="236"/>
      <c r="C422" s="236"/>
      <c r="D422" s="236"/>
      <c r="E422" s="23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</row>
    <row r="423" spans="1:35" ht="19.5" customHeight="1">
      <c r="A423" s="236"/>
      <c r="B423" s="236"/>
      <c r="C423" s="236"/>
      <c r="D423" s="236"/>
      <c r="E423" s="23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</row>
    <row r="424" spans="1:35" ht="19.5" customHeight="1">
      <c r="A424" s="236"/>
      <c r="B424" s="236"/>
      <c r="C424" s="236"/>
      <c r="D424" s="236"/>
      <c r="E424" s="23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</row>
    <row r="425" spans="1:35" ht="19.5" customHeight="1">
      <c r="A425" s="236"/>
      <c r="B425" s="236"/>
      <c r="C425" s="236"/>
      <c r="D425" s="236"/>
      <c r="E425" s="23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</row>
    <row r="426" spans="1:35" ht="19.5" customHeight="1">
      <c r="A426" s="236"/>
      <c r="B426" s="236"/>
      <c r="C426" s="236"/>
      <c r="D426" s="236"/>
      <c r="E426" s="23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</row>
    <row r="427" spans="1:35" ht="19.5" customHeight="1">
      <c r="A427" s="236"/>
      <c r="B427" s="236"/>
      <c r="C427" s="236"/>
      <c r="D427" s="236"/>
      <c r="E427" s="23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</row>
    <row r="428" spans="1:35" ht="19.5" customHeight="1">
      <c r="A428" s="236"/>
      <c r="B428" s="236"/>
      <c r="C428" s="236"/>
      <c r="D428" s="236"/>
      <c r="E428" s="23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</row>
    <row r="429" spans="1:35" ht="19.5" customHeight="1">
      <c r="A429" s="236"/>
      <c r="B429" s="236"/>
      <c r="C429" s="236"/>
      <c r="D429" s="236"/>
      <c r="E429" s="23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</row>
    <row r="430" spans="1:35" ht="19.5" customHeight="1">
      <c r="A430" s="236"/>
      <c r="B430" s="236"/>
      <c r="C430" s="236"/>
      <c r="D430" s="236"/>
      <c r="E430" s="23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</row>
    <row r="431" spans="1:35" ht="19.5" customHeight="1">
      <c r="A431" s="236"/>
      <c r="B431" s="236"/>
      <c r="C431" s="236"/>
      <c r="D431" s="236"/>
      <c r="E431" s="23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</row>
    <row r="432" spans="1:35" ht="19.5" customHeight="1">
      <c r="A432" s="236"/>
      <c r="B432" s="236"/>
      <c r="C432" s="236"/>
      <c r="D432" s="236"/>
      <c r="E432" s="23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</row>
    <row r="433" spans="1:35" ht="19.5" customHeight="1">
      <c r="A433" s="236"/>
      <c r="B433" s="236"/>
      <c r="C433" s="236"/>
      <c r="D433" s="236"/>
      <c r="E433" s="23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</row>
    <row r="434" spans="1:35" ht="19.5" customHeight="1">
      <c r="A434" s="236"/>
      <c r="B434" s="236"/>
      <c r="C434" s="236"/>
      <c r="D434" s="236"/>
      <c r="E434" s="23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</row>
    <row r="435" spans="1:35" ht="19.5" customHeight="1">
      <c r="A435" s="236"/>
      <c r="B435" s="236"/>
      <c r="C435" s="236"/>
      <c r="D435" s="236"/>
      <c r="E435" s="23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</row>
    <row r="436" spans="1:35" ht="19.5" customHeight="1">
      <c r="A436" s="236"/>
      <c r="B436" s="236"/>
      <c r="C436" s="236"/>
      <c r="D436" s="236"/>
      <c r="E436" s="23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</row>
    <row r="437" spans="1:35" ht="19.5" customHeight="1">
      <c r="A437" s="236"/>
      <c r="B437" s="236"/>
      <c r="C437" s="236"/>
      <c r="D437" s="236"/>
      <c r="E437" s="23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</row>
    <row r="438" spans="1:35" ht="19.5" customHeight="1">
      <c r="A438" s="236"/>
      <c r="B438" s="236"/>
      <c r="C438" s="236"/>
      <c r="D438" s="236"/>
      <c r="E438" s="23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</row>
    <row r="439" spans="1:35" ht="19.5" customHeight="1">
      <c r="A439" s="236"/>
      <c r="B439" s="236"/>
      <c r="C439" s="236"/>
      <c r="D439" s="236"/>
      <c r="E439" s="23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</row>
    <row r="440" spans="1:35" ht="19.5" customHeight="1">
      <c r="A440" s="236"/>
      <c r="B440" s="236"/>
      <c r="C440" s="236"/>
      <c r="D440" s="236"/>
      <c r="E440" s="23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</row>
    <row r="441" spans="1:35" ht="19.5" customHeight="1">
      <c r="A441" s="236"/>
      <c r="B441" s="236"/>
      <c r="C441" s="236"/>
      <c r="D441" s="236"/>
      <c r="E441" s="23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</row>
    <row r="442" spans="1:35" ht="19.5" customHeight="1">
      <c r="A442" s="236"/>
      <c r="B442" s="236"/>
      <c r="C442" s="236"/>
      <c r="D442" s="236"/>
      <c r="E442" s="23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</row>
    <row r="443" spans="1:35" ht="19.5" customHeight="1">
      <c r="A443" s="236"/>
      <c r="B443" s="236"/>
      <c r="C443" s="236"/>
      <c r="D443" s="236"/>
      <c r="E443" s="23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</row>
    <row r="444" spans="1:35" ht="19.5" customHeight="1">
      <c r="A444" s="236"/>
      <c r="B444" s="236"/>
      <c r="C444" s="236"/>
      <c r="D444" s="236"/>
      <c r="E444" s="23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</row>
    <row r="445" spans="1:5" ht="19.5" customHeight="1">
      <c r="A445" s="255"/>
      <c r="B445" s="255"/>
      <c r="C445" s="255"/>
      <c r="D445" s="255"/>
      <c r="E445" s="256"/>
    </row>
    <row r="446" spans="1:5" ht="19.5" customHeight="1">
      <c r="A446" s="159"/>
      <c r="B446" s="159"/>
      <c r="C446" s="159"/>
      <c r="D446" s="159"/>
      <c r="E446" s="160"/>
    </row>
    <row r="447" spans="1:5" ht="19.5" customHeight="1">
      <c r="A447" s="159"/>
      <c r="B447" s="159"/>
      <c r="C447" s="159"/>
      <c r="D447" s="159"/>
      <c r="E447" s="160"/>
    </row>
    <row r="448" spans="1:5" ht="19.5" customHeight="1">
      <c r="A448" s="159"/>
      <c r="B448" s="159"/>
      <c r="C448" s="159"/>
      <c r="D448" s="159"/>
      <c r="E448" s="160"/>
    </row>
    <row r="449" spans="1:5" ht="19.5" customHeight="1">
      <c r="A449" s="159"/>
      <c r="B449" s="159"/>
      <c r="C449" s="159"/>
      <c r="D449" s="159"/>
      <c r="E449" s="160"/>
    </row>
    <row r="450" spans="1:5" ht="19.5" customHeight="1">
      <c r="A450" s="159"/>
      <c r="B450" s="159"/>
      <c r="C450" s="159"/>
      <c r="D450" s="159"/>
      <c r="E450" s="160"/>
    </row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2022-02-11T09:21:15Z</cp:lastPrinted>
  <dcterms:created xsi:type="dcterms:W3CDTF">1996-10-08T23:32:33Z</dcterms:created>
  <dcterms:modified xsi:type="dcterms:W3CDTF">2022-02-12T09:27:20Z</dcterms:modified>
  <cp:category/>
  <cp:version/>
  <cp:contentType/>
  <cp:contentStatus/>
</cp:coreProperties>
</file>